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showInkAnnotation="0" autoCompressPictures="0" defaultThemeVersion="202300"/>
  <mc:AlternateContent xmlns:mc="http://schemas.openxmlformats.org/markup-compatibility/2006">
    <mc:Choice Requires="x15">
      <x15ac:absPath xmlns:x15ac="http://schemas.microsoft.com/office/spreadsheetml/2010/11/ac" url="G:\Shared drives\SEC Reporting\Quarterly-Annual Review\2025 Q3\PR Fins, PR Narrative, AC Deck\"/>
    </mc:Choice>
  </mc:AlternateContent>
  <xr:revisionPtr revIDLastSave="0" documentId="13_ncr:1_{3B15EF4B-F723-4A22-9720-DAF6EE7B6A30}" xr6:coauthVersionLast="47" xr6:coauthVersionMax="47" xr10:uidLastSave="{00000000-0000-0000-0000-000000000000}"/>
  <bookViews>
    <workbookView xWindow="-110" yWindow="-110" windowWidth="22780" windowHeight="14540" tabRatio="500" firstSheet="9" activeTab="9" xr2:uid="{00000000-000D-0000-FFFF-FFFF00000000}"/>
  </bookViews>
  <sheets>
    <sheet name="Dates" sheetId="1" state="hidden" r:id="rId1"/>
    <sheet name="Source Financial DATA" sheetId="2" state="hidden" r:id="rId2"/>
    <sheet name="1.Input BalSht" sheetId="3" state="hidden" r:id="rId3"/>
    <sheet name="1.Input IS Trend &amp; EPS" sheetId="4" state="hidden" r:id="rId4"/>
    <sheet name="1.Input Other Customer details" sheetId="5" state="hidden" r:id="rId5"/>
    <sheet name="1.Input NG Expense" sheetId="6" state="hidden" r:id="rId6"/>
    <sheet name="1.Input NG EPS trend" sheetId="7" state="hidden" r:id="rId7"/>
    <sheet name="1.Input Cash Flow (wTrend)" sheetId="8" state="hidden" r:id="rId8"/>
    <sheet name="IS ytd XXX for Face Fins" sheetId="9" state="hidden" r:id="rId9"/>
    <sheet name="ANALYSTS GAAP to Non-GAAP Recon" sheetId="10" r:id="rId10"/>
    <sheet name="Inc Stmt GAAP &amp; NG" sheetId="11" r:id="rId11"/>
    <sheet name="GAAP to Non-GAAP Inc Stmt Trend" sheetId="12" r:id="rId12"/>
    <sheet name="EBITDA Trended" sheetId="13" r:id="rId13"/>
    <sheet name="Revenue &amp; Customer Detail" sheetId="14" r:id="rId14"/>
    <sheet name="EPS  Trended" sheetId="15" r:id="rId15"/>
    <sheet name="Cash Flow Trended" sheetId="16" r:id="rId16"/>
    <sheet name="Balance Sheet Trended" sheetId="17" r:id="rId17"/>
  </sheets>
  <externalReferences>
    <externalReference r:id="rId18"/>
    <externalReference r:id="rId19"/>
    <externalReference r:id="rId20"/>
    <externalReference r:id="rId21"/>
    <externalReference r:id="rId22"/>
    <externalReference r:id="rId23"/>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48" i="17" l="1"/>
  <c r="AC48" i="17"/>
  <c r="AB48" i="17"/>
  <c r="AA48" i="17"/>
  <c r="Z48" i="17"/>
  <c r="Y48" i="17"/>
  <c r="X48" i="17"/>
  <c r="W48" i="17"/>
  <c r="V48" i="17"/>
  <c r="U48" i="17"/>
  <c r="T48" i="17"/>
  <c r="S48" i="17"/>
  <c r="R48" i="17"/>
  <c r="Q48" i="17"/>
  <c r="P48" i="17"/>
  <c r="O48" i="17"/>
  <c r="N48" i="17"/>
  <c r="M48" i="17"/>
  <c r="L48" i="17"/>
  <c r="K48" i="17"/>
  <c r="AH47" i="17"/>
  <c r="AG47" i="17"/>
  <c r="AF47" i="17"/>
  <c r="AE47" i="17"/>
  <c r="AH46" i="17"/>
  <c r="AG46" i="17"/>
  <c r="AF46" i="17"/>
  <c r="AE46" i="17"/>
  <c r="AH45" i="17"/>
  <c r="AG45" i="17"/>
  <c r="AF45" i="17"/>
  <c r="AE45" i="17"/>
  <c r="AH44" i="17"/>
  <c r="AG44" i="17"/>
  <c r="AF44" i="17"/>
  <c r="AE44" i="17"/>
  <c r="AH43" i="17"/>
  <c r="AG43" i="17"/>
  <c r="AF43" i="17"/>
  <c r="AE43" i="17"/>
  <c r="AE48" i="17" s="1"/>
  <c r="AH40" i="17"/>
  <c r="AG40" i="17"/>
  <c r="AF40" i="17"/>
  <c r="AE40" i="17"/>
  <c r="AD36" i="17"/>
  <c r="AC36" i="17"/>
  <c r="AB36" i="17"/>
  <c r="AA36" i="17"/>
  <c r="AA49" i="17" s="1"/>
  <c r="Z36" i="17"/>
  <c r="Z49" i="17" s="1"/>
  <c r="Y36" i="17"/>
  <c r="Y49" i="17" s="1"/>
  <c r="X36" i="17"/>
  <c r="W36" i="17"/>
  <c r="W49" i="17" s="1"/>
  <c r="V36" i="17"/>
  <c r="U36" i="17"/>
  <c r="T36" i="17"/>
  <c r="S36" i="17"/>
  <c r="S49" i="17" s="1"/>
  <c r="R36" i="17"/>
  <c r="R49" i="17" s="1"/>
  <c r="Q36" i="17"/>
  <c r="Q49" i="17" s="1"/>
  <c r="P36" i="17"/>
  <c r="P49" i="17" s="1"/>
  <c r="O36" i="17"/>
  <c r="O49" i="17" s="1"/>
  <c r="N36" i="17"/>
  <c r="M36" i="17"/>
  <c r="L36" i="17"/>
  <c r="K36" i="17"/>
  <c r="K49" i="17" s="1"/>
  <c r="AH34" i="17"/>
  <c r="AG34" i="17"/>
  <c r="AF34" i="17"/>
  <c r="AE34" i="17"/>
  <c r="AH33" i="17"/>
  <c r="AG33" i="17"/>
  <c r="AF33" i="17"/>
  <c r="AE33" i="17"/>
  <c r="AH32" i="17"/>
  <c r="AG32" i="17"/>
  <c r="AF32" i="17"/>
  <c r="AE32" i="17"/>
  <c r="AH31" i="17"/>
  <c r="AG31" i="17"/>
  <c r="AF31" i="17"/>
  <c r="AE31" i="17"/>
  <c r="AH30" i="17"/>
  <c r="AG30" i="17"/>
  <c r="AF30" i="17"/>
  <c r="AE30" i="17"/>
  <c r="AH29" i="17"/>
  <c r="AG29" i="17"/>
  <c r="AF29" i="17"/>
  <c r="AF36" i="17" s="1"/>
  <c r="AE29" i="17"/>
  <c r="AH23" i="17"/>
  <c r="AG23" i="17"/>
  <c r="AF23" i="17"/>
  <c r="AE23" i="17"/>
  <c r="AH22" i="17"/>
  <c r="AG22" i="17"/>
  <c r="AF22" i="17"/>
  <c r="AE22" i="17"/>
  <c r="AH21" i="17"/>
  <c r="AG21" i="17"/>
  <c r="AF21" i="17"/>
  <c r="AE21" i="17"/>
  <c r="AH20" i="17"/>
  <c r="AG20" i="17"/>
  <c r="AF20" i="17"/>
  <c r="AE20" i="17"/>
  <c r="AD18" i="17"/>
  <c r="AC18" i="17"/>
  <c r="AB18" i="17"/>
  <c r="AA18" i="17"/>
  <c r="Z18" i="17"/>
  <c r="Y18" i="17"/>
  <c r="X18" i="17"/>
  <c r="W18" i="17"/>
  <c r="W24" i="17" s="1"/>
  <c r="V18" i="17"/>
  <c r="U18" i="17"/>
  <c r="T18" i="17"/>
  <c r="S18" i="17"/>
  <c r="R18" i="17"/>
  <c r="Q18" i="17"/>
  <c r="P18" i="17"/>
  <c r="O18" i="17"/>
  <c r="N18" i="17"/>
  <c r="M18" i="17"/>
  <c r="L18" i="17"/>
  <c r="K18" i="17"/>
  <c r="AH17" i="17"/>
  <c r="AG17" i="17"/>
  <c r="AF17" i="17"/>
  <c r="AE17" i="17"/>
  <c r="AE18" i="17" s="1"/>
  <c r="AH16" i="17"/>
  <c r="AH18" i="17" s="1"/>
  <c r="AG16" i="17"/>
  <c r="AG18" i="17" s="1"/>
  <c r="AF16" i="17"/>
  <c r="AE16" i="17"/>
  <c r="AD14" i="17"/>
  <c r="AC14" i="17"/>
  <c r="AB14" i="17"/>
  <c r="AB24" i="17" s="1"/>
  <c r="AA14" i="17"/>
  <c r="Z14" i="17"/>
  <c r="Y14" i="17"/>
  <c r="Y24" i="17" s="1"/>
  <c r="X14" i="17"/>
  <c r="X24" i="17" s="1"/>
  <c r="W14" i="17"/>
  <c r="V14" i="17"/>
  <c r="U14" i="17"/>
  <c r="T14" i="17"/>
  <c r="T24" i="17" s="1"/>
  <c r="S14" i="17"/>
  <c r="S24" i="17" s="1"/>
  <c r="R14" i="17"/>
  <c r="R24" i="17" s="1"/>
  <c r="Q14" i="17"/>
  <c r="Q24" i="17" s="1"/>
  <c r="P14" i="17"/>
  <c r="P24" i="17" s="1"/>
  <c r="O14" i="17"/>
  <c r="N14" i="17"/>
  <c r="M14" i="17"/>
  <c r="L14" i="17"/>
  <c r="L24" i="17" s="1"/>
  <c r="K14" i="17"/>
  <c r="K24" i="17" s="1"/>
  <c r="AH12" i="17"/>
  <c r="AG12" i="17"/>
  <c r="AF12" i="17"/>
  <c r="AE12" i="17"/>
  <c r="AH11" i="17"/>
  <c r="AG11" i="17"/>
  <c r="AF11" i="17"/>
  <c r="AE11" i="17"/>
  <c r="AH10" i="17"/>
  <c r="AG10" i="17"/>
  <c r="AF10" i="17"/>
  <c r="AE10" i="17"/>
  <c r="AH9" i="17"/>
  <c r="AG9" i="17"/>
  <c r="AF9" i="17"/>
  <c r="AE9" i="17"/>
  <c r="AH8" i="17"/>
  <c r="AG8" i="17"/>
  <c r="AF8" i="17"/>
  <c r="AE8" i="17"/>
  <c r="AH7" i="17"/>
  <c r="AG7" i="17"/>
  <c r="AF7" i="17"/>
  <c r="AE7" i="17"/>
  <c r="A61" i="16"/>
  <c r="F60" i="16"/>
  <c r="A60" i="16"/>
  <c r="C59" i="16"/>
  <c r="A59" i="16"/>
  <c r="AN57" i="16"/>
  <c r="AM57" i="16"/>
  <c r="AL57" i="16"/>
  <c r="AK57" i="16"/>
  <c r="AJ57" i="16"/>
  <c r="AE57" i="16"/>
  <c r="Z57" i="16"/>
  <c r="U57" i="16"/>
  <c r="P57" i="16"/>
  <c r="K57" i="16"/>
  <c r="F57" i="16"/>
  <c r="A57" i="16"/>
  <c r="AI55" i="16"/>
  <c r="AH55" i="16"/>
  <c r="AG55" i="16"/>
  <c r="AF55" i="16"/>
  <c r="AD55" i="16"/>
  <c r="AC55" i="16"/>
  <c r="AB55" i="16"/>
  <c r="AA55" i="16"/>
  <c r="Y55" i="16"/>
  <c r="X55" i="16"/>
  <c r="W55" i="16"/>
  <c r="V55" i="16"/>
  <c r="T55" i="16"/>
  <c r="S55" i="16"/>
  <c r="R55" i="16"/>
  <c r="Q55" i="16"/>
  <c r="O55" i="16"/>
  <c r="N55" i="16"/>
  <c r="M55" i="16"/>
  <c r="L55" i="16"/>
  <c r="J55" i="16"/>
  <c r="I55" i="16"/>
  <c r="H55" i="16"/>
  <c r="G55" i="16"/>
  <c r="E55" i="16"/>
  <c r="E59" i="16" s="1"/>
  <c r="D55" i="16"/>
  <c r="C55" i="16"/>
  <c r="B55" i="16"/>
  <c r="AN54" i="16"/>
  <c r="AM54" i="16"/>
  <c r="AL54" i="16"/>
  <c r="AK54" i="16"/>
  <c r="AJ54" i="16"/>
  <c r="AE54" i="16"/>
  <c r="Z54" i="16"/>
  <c r="U54" i="16"/>
  <c r="P54" i="16"/>
  <c r="K54" i="16"/>
  <c r="F54" i="16"/>
  <c r="A54" i="16"/>
  <c r="AN53" i="16"/>
  <c r="AM53" i="16"/>
  <c r="AL53" i="16"/>
  <c r="AK53" i="16"/>
  <c r="AJ53" i="16"/>
  <c r="AE53" i="16"/>
  <c r="Z53" i="16"/>
  <c r="U53" i="16"/>
  <c r="U55" i="16" s="1"/>
  <c r="P53" i="16"/>
  <c r="K53" i="16"/>
  <c r="F53" i="16"/>
  <c r="A53" i="16"/>
  <c r="AN52" i="16"/>
  <c r="AM52" i="16"/>
  <c r="AM55" i="16" s="1"/>
  <c r="AL52" i="16"/>
  <c r="AK52" i="16"/>
  <c r="AJ52" i="16"/>
  <c r="AE52" i="16"/>
  <c r="AE55" i="16" s="1"/>
  <c r="Z52" i="16"/>
  <c r="U52" i="16"/>
  <c r="P52" i="16"/>
  <c r="K52" i="16"/>
  <c r="F52" i="16"/>
  <c r="F55" i="16" s="1"/>
  <c r="A52" i="16"/>
  <c r="A51" i="16"/>
  <c r="AI49" i="16"/>
  <c r="AH49" i="16"/>
  <c r="AG49" i="16"/>
  <c r="AF49" i="16"/>
  <c r="AD49" i="16"/>
  <c r="AC49" i="16"/>
  <c r="AB49" i="16"/>
  <c r="AA49" i="16"/>
  <c r="Y49" i="16"/>
  <c r="X49" i="16"/>
  <c r="W49" i="16"/>
  <c r="V49" i="16"/>
  <c r="T49" i="16"/>
  <c r="S49" i="16"/>
  <c r="R49" i="16"/>
  <c r="Q49" i="16"/>
  <c r="O49" i="16"/>
  <c r="N49" i="16"/>
  <c r="M49" i="16"/>
  <c r="L49" i="16"/>
  <c r="J49" i="16"/>
  <c r="I49" i="16"/>
  <c r="H49" i="16"/>
  <c r="G49" i="16"/>
  <c r="E49" i="16"/>
  <c r="D49" i="16"/>
  <c r="C49" i="16"/>
  <c r="B49" i="16"/>
  <c r="AN48" i="16"/>
  <c r="AM48" i="16"/>
  <c r="AL48" i="16"/>
  <c r="AK48" i="16"/>
  <c r="AJ48" i="16"/>
  <c r="AE48" i="16"/>
  <c r="Z48" i="16"/>
  <c r="U48" i="16"/>
  <c r="P48" i="16"/>
  <c r="K48" i="16"/>
  <c r="F48" i="16"/>
  <c r="A48" i="16"/>
  <c r="AN47" i="16"/>
  <c r="AM47" i="16"/>
  <c r="AL47" i="16"/>
  <c r="AK47" i="16"/>
  <c r="AO47" i="16" s="1"/>
  <c r="AJ47" i="16"/>
  <c r="AE47" i="16"/>
  <c r="Z47" i="16"/>
  <c r="U47" i="16"/>
  <c r="P47" i="16"/>
  <c r="K47" i="16"/>
  <c r="F47" i="16"/>
  <c r="A47" i="16"/>
  <c r="AN46" i="16"/>
  <c r="AM46" i="16"/>
  <c r="AL46" i="16"/>
  <c r="AK46" i="16"/>
  <c r="AJ46" i="16"/>
  <c r="AE46" i="16"/>
  <c r="Z46" i="16"/>
  <c r="U46" i="16"/>
  <c r="P46" i="16"/>
  <c r="K46" i="16"/>
  <c r="F46" i="16"/>
  <c r="A46" i="16"/>
  <c r="AN45" i="16"/>
  <c r="AM45" i="16"/>
  <c r="AL45" i="16"/>
  <c r="AK45" i="16"/>
  <c r="AJ45" i="16"/>
  <c r="AE45" i="16"/>
  <c r="Z45" i="16"/>
  <c r="U45" i="16"/>
  <c r="P45" i="16"/>
  <c r="K45" i="16"/>
  <c r="F45" i="16"/>
  <c r="A45" i="16"/>
  <c r="AN44" i="16"/>
  <c r="AN49" i="16" s="1"/>
  <c r="AM44" i="16"/>
  <c r="AL44" i="16"/>
  <c r="AK44" i="16"/>
  <c r="AJ44" i="16"/>
  <c r="AE44" i="16"/>
  <c r="Z44" i="16"/>
  <c r="U44" i="16"/>
  <c r="P44" i="16"/>
  <c r="K44" i="16"/>
  <c r="F44" i="16"/>
  <c r="A44" i="16"/>
  <c r="AN43" i="16"/>
  <c r="AM43" i="16"/>
  <c r="AL43" i="16"/>
  <c r="AK43" i="16"/>
  <c r="AK49" i="16" s="1"/>
  <c r="AJ43" i="16"/>
  <c r="AE43" i="16"/>
  <c r="AE49" i="16" s="1"/>
  <c r="Z43" i="16"/>
  <c r="U43" i="16"/>
  <c r="P43" i="16"/>
  <c r="K43" i="16"/>
  <c r="F43" i="16"/>
  <c r="A43" i="16"/>
  <c r="AO42" i="16"/>
  <c r="AJ42" i="16"/>
  <c r="AE42" i="16"/>
  <c r="Z42" i="16"/>
  <c r="U42" i="16"/>
  <c r="P42" i="16"/>
  <c r="P49" i="16" s="1"/>
  <c r="K42" i="16"/>
  <c r="F42" i="16"/>
  <c r="A41" i="16"/>
  <c r="AI39" i="16"/>
  <c r="AH39" i="16"/>
  <c r="AG39" i="16"/>
  <c r="AF39" i="16"/>
  <c r="AD39" i="16"/>
  <c r="AC39" i="16"/>
  <c r="AB39" i="16"/>
  <c r="AA39" i="16"/>
  <c r="Y39" i="16"/>
  <c r="X39" i="16"/>
  <c r="W39" i="16"/>
  <c r="V39" i="16"/>
  <c r="T39" i="16"/>
  <c r="S39" i="16"/>
  <c r="R39" i="16"/>
  <c r="Q39" i="16"/>
  <c r="O39" i="16"/>
  <c r="N39" i="16"/>
  <c r="M39" i="16"/>
  <c r="L39" i="16"/>
  <c r="J39" i="16"/>
  <c r="I39" i="16"/>
  <c r="H39" i="16"/>
  <c r="G39" i="16"/>
  <c r="E39" i="16"/>
  <c r="D39" i="16"/>
  <c r="C39" i="16"/>
  <c r="B39" i="16"/>
  <c r="AN38" i="16"/>
  <c r="AM38" i="16"/>
  <c r="AL38" i="16"/>
  <c r="AK38" i="16"/>
  <c r="AJ38" i="16"/>
  <c r="AE38" i="16"/>
  <c r="Z38" i="16"/>
  <c r="U38" i="16"/>
  <c r="P38" i="16"/>
  <c r="K38" i="16"/>
  <c r="F38" i="16"/>
  <c r="A38" i="16"/>
  <c r="AN37" i="16"/>
  <c r="AM37" i="16"/>
  <c r="AL37" i="16"/>
  <c r="AK37" i="16"/>
  <c r="AJ37" i="16"/>
  <c r="AE37" i="16"/>
  <c r="Z37" i="16"/>
  <c r="U37" i="16"/>
  <c r="P37" i="16"/>
  <c r="K37" i="16"/>
  <c r="F37" i="16"/>
  <c r="A37" i="16"/>
  <c r="AN36" i="16"/>
  <c r="AM36" i="16"/>
  <c r="AL36" i="16"/>
  <c r="AK36" i="16"/>
  <c r="AO36" i="16" s="1"/>
  <c r="AJ36" i="16"/>
  <c r="AE36" i="16"/>
  <c r="Z36" i="16"/>
  <c r="U36" i="16"/>
  <c r="P36" i="16"/>
  <c r="K36" i="16"/>
  <c r="F36" i="16"/>
  <c r="A36" i="16"/>
  <c r="AN35" i="16"/>
  <c r="AM35" i="16"/>
  <c r="AL35" i="16"/>
  <c r="AK35" i="16"/>
  <c r="AJ35" i="16"/>
  <c r="AE35" i="16"/>
  <c r="Z35" i="16"/>
  <c r="U35" i="16"/>
  <c r="P35" i="16"/>
  <c r="K35" i="16"/>
  <c r="F35" i="16"/>
  <c r="A35" i="16"/>
  <c r="AN34" i="16"/>
  <c r="AM34" i="16"/>
  <c r="AL34" i="16"/>
  <c r="AK34" i="16"/>
  <c r="AJ34" i="16"/>
  <c r="AE34" i="16"/>
  <c r="Z34" i="16"/>
  <c r="U34" i="16"/>
  <c r="P34" i="16"/>
  <c r="K34" i="16"/>
  <c r="F34" i="16"/>
  <c r="A34" i="16"/>
  <c r="AN33" i="16"/>
  <c r="AM33" i="16"/>
  <c r="AL33" i="16"/>
  <c r="AK33" i="16"/>
  <c r="AO33" i="16" s="1"/>
  <c r="AJ33" i="16"/>
  <c r="AE33" i="16"/>
  <c r="Z33" i="16"/>
  <c r="U33" i="16"/>
  <c r="P33" i="16"/>
  <c r="K33" i="16"/>
  <c r="F33" i="16"/>
  <c r="A33" i="16"/>
  <c r="AN32" i="16"/>
  <c r="AM32" i="16"/>
  <c r="AL32" i="16"/>
  <c r="AO32" i="16" s="1"/>
  <c r="AK32" i="16"/>
  <c r="AJ32" i="16"/>
  <c r="AE32" i="16"/>
  <c r="Z32" i="16"/>
  <c r="U32" i="16"/>
  <c r="P32" i="16"/>
  <c r="K32" i="16"/>
  <c r="F32" i="16"/>
  <c r="A32" i="16"/>
  <c r="AN31" i="16"/>
  <c r="AM31" i="16"/>
  <c r="AL31" i="16"/>
  <c r="AK31" i="16"/>
  <c r="AJ31" i="16"/>
  <c r="AE31" i="16"/>
  <c r="AE39" i="16" s="1"/>
  <c r="Z31" i="16"/>
  <c r="U31" i="16"/>
  <c r="P31" i="16"/>
  <c r="K31" i="16"/>
  <c r="F31" i="16"/>
  <c r="A31" i="16"/>
  <c r="AN30" i="16"/>
  <c r="AM30" i="16"/>
  <c r="AL30" i="16"/>
  <c r="AL39" i="16" s="1"/>
  <c r="AK30" i="16"/>
  <c r="AJ30" i="16"/>
  <c r="AE30" i="16"/>
  <c r="Z30" i="16"/>
  <c r="U30" i="16"/>
  <c r="P30" i="16"/>
  <c r="K30" i="16"/>
  <c r="F30" i="16"/>
  <c r="A30" i="16"/>
  <c r="AO29" i="16"/>
  <c r="AJ29" i="16"/>
  <c r="AE29" i="16"/>
  <c r="Z29" i="16"/>
  <c r="U29" i="16"/>
  <c r="P29" i="16"/>
  <c r="K29" i="16"/>
  <c r="K39" i="16" s="1"/>
  <c r="F29" i="16"/>
  <c r="A28" i="16"/>
  <c r="AI26" i="16"/>
  <c r="AH26" i="16"/>
  <c r="AG26" i="16"/>
  <c r="AF26" i="16"/>
  <c r="AF59" i="16" s="1"/>
  <c r="AD26" i="16"/>
  <c r="AD59" i="16" s="1"/>
  <c r="AC26" i="16"/>
  <c r="AC59" i="16" s="1"/>
  <c r="AB26" i="16"/>
  <c r="AA26" i="16"/>
  <c r="Y26" i="16"/>
  <c r="Y59" i="16" s="1"/>
  <c r="X26" i="16"/>
  <c r="W26" i="16"/>
  <c r="V26" i="16"/>
  <c r="V59" i="16" s="1"/>
  <c r="T26" i="16"/>
  <c r="T59" i="16" s="1"/>
  <c r="S26" i="16"/>
  <c r="R26" i="16"/>
  <c r="Q26" i="16"/>
  <c r="O26" i="16"/>
  <c r="N26" i="16"/>
  <c r="N59" i="16" s="1"/>
  <c r="M26" i="16"/>
  <c r="M59" i="16" s="1"/>
  <c r="L26" i="16"/>
  <c r="L59" i="16" s="1"/>
  <c r="J26" i="16"/>
  <c r="J59" i="16" s="1"/>
  <c r="I26" i="16"/>
  <c r="H26" i="16"/>
  <c r="G26" i="16"/>
  <c r="E26" i="16"/>
  <c r="D26" i="16"/>
  <c r="D59" i="16" s="1"/>
  <c r="C26" i="16"/>
  <c r="B26" i="16"/>
  <c r="B59" i="16" s="1"/>
  <c r="B61" i="16" s="1"/>
  <c r="C60" i="16" s="1"/>
  <c r="AN25" i="16"/>
  <c r="AM25" i="16"/>
  <c r="AO25" i="16" s="1"/>
  <c r="AL25" i="16"/>
  <c r="AK25" i="16"/>
  <c r="AJ25" i="16"/>
  <c r="AE25" i="16"/>
  <c r="Z25" i="16"/>
  <c r="U25" i="16"/>
  <c r="P25" i="16"/>
  <c r="K25" i="16"/>
  <c r="F25" i="16"/>
  <c r="A25" i="16"/>
  <c r="AN24" i="16"/>
  <c r="AM24" i="16"/>
  <c r="AL24" i="16"/>
  <c r="AK24" i="16"/>
  <c r="AJ24" i="16"/>
  <c r="AE24" i="16"/>
  <c r="Z24" i="16"/>
  <c r="U24" i="16"/>
  <c r="P24" i="16"/>
  <c r="K24" i="16"/>
  <c r="F24" i="16"/>
  <c r="A24" i="16"/>
  <c r="AN23" i="16"/>
  <c r="AM23" i="16"/>
  <c r="AL23" i="16"/>
  <c r="AK23" i="16"/>
  <c r="AJ23" i="16"/>
  <c r="AE23" i="16"/>
  <c r="Z23" i="16"/>
  <c r="U23" i="16"/>
  <c r="P23" i="16"/>
  <c r="K23" i="16"/>
  <c r="F23" i="16"/>
  <c r="A23" i="16"/>
  <c r="AN22" i="16"/>
  <c r="AM22" i="16"/>
  <c r="AL22" i="16"/>
  <c r="AK22" i="16"/>
  <c r="AJ22" i="16"/>
  <c r="AE22" i="16"/>
  <c r="Z22" i="16"/>
  <c r="U22" i="16"/>
  <c r="P22" i="16"/>
  <c r="K22" i="16"/>
  <c r="F22" i="16"/>
  <c r="A22" i="16"/>
  <c r="AN21" i="16"/>
  <c r="AM21" i="16"/>
  <c r="AL21" i="16"/>
  <c r="AK21" i="16"/>
  <c r="AJ21" i="16"/>
  <c r="AE21" i="16"/>
  <c r="Z21" i="16"/>
  <c r="U21" i="16"/>
  <c r="P21" i="16"/>
  <c r="K21" i="16"/>
  <c r="F21" i="16"/>
  <c r="A21" i="16"/>
  <c r="AN20" i="16"/>
  <c r="AM20" i="16"/>
  <c r="AL20" i="16"/>
  <c r="AK20" i="16"/>
  <c r="AJ20" i="16"/>
  <c r="AE20" i="16"/>
  <c r="Z20" i="16"/>
  <c r="U20" i="16"/>
  <c r="P20" i="16"/>
  <c r="K20" i="16"/>
  <c r="F20" i="16"/>
  <c r="A20" i="16"/>
  <c r="A19" i="16"/>
  <c r="AN18" i="16"/>
  <c r="AM18" i="16"/>
  <c r="AL18" i="16"/>
  <c r="AK18" i="16"/>
  <c r="AJ18" i="16"/>
  <c r="AE18" i="16"/>
  <c r="Z18" i="16"/>
  <c r="U18" i="16"/>
  <c r="P18" i="16"/>
  <c r="K18" i="16"/>
  <c r="F18" i="16"/>
  <c r="A18" i="16"/>
  <c r="AN17" i="16"/>
  <c r="AM17" i="16"/>
  <c r="AL17" i="16"/>
  <c r="AK17" i="16"/>
  <c r="AO17" i="16" s="1"/>
  <c r="AJ17" i="16"/>
  <c r="AE17" i="16"/>
  <c r="Z17" i="16"/>
  <c r="U17" i="16"/>
  <c r="P17" i="16"/>
  <c r="K17" i="16"/>
  <c r="F17" i="16"/>
  <c r="A17" i="16"/>
  <c r="AN16" i="16"/>
  <c r="AM16" i="16"/>
  <c r="AL16" i="16"/>
  <c r="AK16" i="16"/>
  <c r="AJ16" i="16"/>
  <c r="AE16" i="16"/>
  <c r="Z16" i="16"/>
  <c r="U16" i="16"/>
  <c r="P16" i="16"/>
  <c r="K16" i="16"/>
  <c r="F16" i="16"/>
  <c r="A16" i="16"/>
  <c r="AO15" i="16"/>
  <c r="AJ15" i="16"/>
  <c r="AE15" i="16"/>
  <c r="Z15" i="16"/>
  <c r="U15" i="16"/>
  <c r="P15" i="16"/>
  <c r="K15" i="16"/>
  <c r="F15" i="16"/>
  <c r="AN14" i="16"/>
  <c r="AM14" i="16"/>
  <c r="AL14" i="16"/>
  <c r="AK14" i="16"/>
  <c r="AO14" i="16" s="1"/>
  <c r="AJ14" i="16"/>
  <c r="AE14" i="16"/>
  <c r="Z14" i="16"/>
  <c r="U14" i="16"/>
  <c r="P14" i="16"/>
  <c r="K14" i="16"/>
  <c r="F14" i="16"/>
  <c r="A14" i="16"/>
  <c r="AN13" i="16"/>
  <c r="AM13" i="16"/>
  <c r="AL13" i="16"/>
  <c r="AK13" i="16"/>
  <c r="AJ13" i="16"/>
  <c r="AE13" i="16"/>
  <c r="Z13" i="16"/>
  <c r="U13" i="16"/>
  <c r="P13" i="16"/>
  <c r="K13" i="16"/>
  <c r="F13" i="16"/>
  <c r="A13" i="16"/>
  <c r="AN12" i="16"/>
  <c r="AM12" i="16"/>
  <c r="AL12" i="16"/>
  <c r="AK12" i="16"/>
  <c r="AO12" i="16" s="1"/>
  <c r="AJ12" i="16"/>
  <c r="AE12" i="16"/>
  <c r="Z12" i="16"/>
  <c r="U12" i="16"/>
  <c r="P12" i="16"/>
  <c r="K12" i="16"/>
  <c r="F12" i="16"/>
  <c r="A12" i="16"/>
  <c r="AN11" i="16"/>
  <c r="AM11" i="16"/>
  <c r="AL11" i="16"/>
  <c r="AK11" i="16"/>
  <c r="AJ11" i="16"/>
  <c r="AE11" i="16"/>
  <c r="Z11" i="16"/>
  <c r="U11" i="16"/>
  <c r="P11" i="16"/>
  <c r="K11" i="16"/>
  <c r="F11" i="16"/>
  <c r="A11" i="16"/>
  <c r="AN10" i="16"/>
  <c r="AM10" i="16"/>
  <c r="AL10" i="16"/>
  <c r="AK10" i="16"/>
  <c r="AJ10" i="16"/>
  <c r="AE10" i="16"/>
  <c r="Z10" i="16"/>
  <c r="U10" i="16"/>
  <c r="P10" i="16"/>
  <c r="K10" i="16"/>
  <c r="F10" i="16"/>
  <c r="AN9" i="16"/>
  <c r="AM9" i="16"/>
  <c r="AO9" i="16" s="1"/>
  <c r="AL9" i="16"/>
  <c r="AK9" i="16"/>
  <c r="AJ9" i="16"/>
  <c r="AE9" i="16"/>
  <c r="Z9" i="16"/>
  <c r="U9" i="16"/>
  <c r="P9" i="16"/>
  <c r="K9" i="16"/>
  <c r="F9" i="16"/>
  <c r="A9" i="16"/>
  <c r="A8" i="16"/>
  <c r="AN7" i="16"/>
  <c r="AM7" i="16"/>
  <c r="AL7" i="16"/>
  <c r="AK7" i="16"/>
  <c r="AO7" i="16" s="1"/>
  <c r="AJ7" i="16"/>
  <c r="AE7" i="16"/>
  <c r="Z7" i="16"/>
  <c r="U7" i="16"/>
  <c r="P7" i="16"/>
  <c r="K7" i="16"/>
  <c r="F7" i="16"/>
  <c r="AJ6" i="16"/>
  <c r="AE6" i="16"/>
  <c r="Z6" i="16"/>
  <c r="U6" i="16"/>
  <c r="P6" i="16"/>
  <c r="K6" i="16"/>
  <c r="F6" i="16"/>
  <c r="AK31" i="15"/>
  <c r="AJ31" i="15"/>
  <c r="AI31" i="15"/>
  <c r="AH31" i="15"/>
  <c r="AG31" i="15"/>
  <c r="AE26" i="15"/>
  <c r="AD26" i="15"/>
  <c r="AC26" i="15"/>
  <c r="AB26" i="15"/>
  <c r="Z26" i="15"/>
  <c r="Y26" i="15"/>
  <c r="X26" i="15"/>
  <c r="W26" i="15"/>
  <c r="U26" i="15"/>
  <c r="T26" i="15"/>
  <c r="S26" i="15"/>
  <c r="R26" i="15"/>
  <c r="P26" i="15"/>
  <c r="O26" i="15"/>
  <c r="N26" i="15"/>
  <c r="M26" i="15"/>
  <c r="K26" i="15"/>
  <c r="J26" i="15"/>
  <c r="I26" i="15"/>
  <c r="H26" i="15"/>
  <c r="G26" i="15"/>
  <c r="F26" i="15"/>
  <c r="E26" i="15"/>
  <c r="D26" i="15"/>
  <c r="C26" i="15"/>
  <c r="B26" i="15"/>
  <c r="AO25" i="15"/>
  <c r="AN25" i="15"/>
  <c r="AP25" i="15" s="1"/>
  <c r="AM25" i="15"/>
  <c r="AL25" i="15"/>
  <c r="AJ25" i="15"/>
  <c r="AI25" i="15"/>
  <c r="AH25" i="15"/>
  <c r="AG25" i="15"/>
  <c r="AF25" i="15"/>
  <c r="AA25" i="15"/>
  <c r="V25" i="15"/>
  <c r="Q25" i="15"/>
  <c r="L25" i="15"/>
  <c r="G25" i="15"/>
  <c r="AF24" i="15"/>
  <c r="AA24" i="15"/>
  <c r="AA26" i="15" s="1"/>
  <c r="V24" i="15"/>
  <c r="Q24" i="15"/>
  <c r="Q26" i="15" s="1"/>
  <c r="L24" i="15"/>
  <c r="L26" i="15" s="1"/>
  <c r="G24" i="15"/>
  <c r="AE22" i="15"/>
  <c r="AD22" i="15"/>
  <c r="AC22" i="15"/>
  <c r="AB22" i="15"/>
  <c r="Z22" i="15"/>
  <c r="Y22" i="15"/>
  <c r="X22" i="15"/>
  <c r="W22" i="15"/>
  <c r="U22" i="15"/>
  <c r="T22" i="15"/>
  <c r="S22" i="15"/>
  <c r="R22" i="15"/>
  <c r="P22" i="15"/>
  <c r="O22" i="15"/>
  <c r="N22" i="15"/>
  <c r="M22" i="15"/>
  <c r="K22" i="15"/>
  <c r="J22" i="15"/>
  <c r="I22" i="15"/>
  <c r="H22" i="15"/>
  <c r="F22" i="15"/>
  <c r="E22" i="15"/>
  <c r="D22" i="15"/>
  <c r="C22" i="15"/>
  <c r="B22" i="15"/>
  <c r="AF21" i="15"/>
  <c r="AA21" i="15"/>
  <c r="V21" i="15"/>
  <c r="Q21" i="15"/>
  <c r="L21" i="15"/>
  <c r="G21" i="15"/>
  <c r="AF20" i="15"/>
  <c r="AA20" i="15"/>
  <c r="V20" i="15"/>
  <c r="Q20" i="15"/>
  <c r="L20" i="15"/>
  <c r="G20" i="15"/>
  <c r="AF19" i="15"/>
  <c r="AA19" i="15"/>
  <c r="V19" i="15"/>
  <c r="Q19" i="15"/>
  <c r="L19" i="15"/>
  <c r="G19" i="15"/>
  <c r="AF18" i="15"/>
  <c r="AA18" i="15"/>
  <c r="V18" i="15"/>
  <c r="Q18" i="15"/>
  <c r="L18" i="15"/>
  <c r="G18" i="15"/>
  <c r="AL17" i="15"/>
  <c r="AF17" i="15"/>
  <c r="AA17" i="15"/>
  <c r="V17" i="15"/>
  <c r="V22" i="15" s="1"/>
  <c r="Q17" i="15"/>
  <c r="L17" i="15"/>
  <c r="G17" i="15"/>
  <c r="AF16" i="15"/>
  <c r="AF22" i="15" s="1"/>
  <c r="AA16" i="15"/>
  <c r="V16" i="15"/>
  <c r="Q16" i="15"/>
  <c r="L16" i="15"/>
  <c r="L22" i="15" s="1"/>
  <c r="G16" i="15"/>
  <c r="AE9" i="15"/>
  <c r="AD9" i="15"/>
  <c r="AC9" i="15"/>
  <c r="AB9" i="15"/>
  <c r="Z9" i="15"/>
  <c r="Y9" i="15"/>
  <c r="X9" i="15"/>
  <c r="W9" i="15"/>
  <c r="U9" i="15"/>
  <c r="T9" i="15"/>
  <c r="S9" i="15"/>
  <c r="R9" i="15"/>
  <c r="Q9" i="15"/>
  <c r="P9" i="15"/>
  <c r="O9" i="15"/>
  <c r="N9" i="15"/>
  <c r="M9" i="15"/>
  <c r="K9" i="15"/>
  <c r="J9" i="15"/>
  <c r="I9" i="15"/>
  <c r="H9" i="15"/>
  <c r="F9" i="15"/>
  <c r="E9" i="15"/>
  <c r="D9" i="15"/>
  <c r="C9" i="15"/>
  <c r="B9" i="15"/>
  <c r="AO8" i="15"/>
  <c r="AP8" i="15" s="1"/>
  <c r="AN8" i="15"/>
  <c r="AM8" i="15"/>
  <c r="AL8" i="15"/>
  <c r="AJ8" i="15"/>
  <c r="AI8" i="15"/>
  <c r="AH8" i="15"/>
  <c r="AG8" i="15"/>
  <c r="AK8" i="15" s="1"/>
  <c r="AF8" i="15"/>
  <c r="AA8" i="15"/>
  <c r="V8" i="15"/>
  <c r="Q8" i="15"/>
  <c r="L8" i="15"/>
  <c r="G8" i="15"/>
  <c r="AF7" i="15"/>
  <c r="AF9" i="15" s="1"/>
  <c r="AA7" i="15"/>
  <c r="AA9" i="15" s="1"/>
  <c r="V7" i="15"/>
  <c r="V9" i="15" s="1"/>
  <c r="Q7" i="15"/>
  <c r="L7" i="15"/>
  <c r="L9" i="15" s="1"/>
  <c r="G7" i="15"/>
  <c r="G9" i="15" s="1"/>
  <c r="AP16" i="14"/>
  <c r="AO16" i="14"/>
  <c r="AN16" i="14"/>
  <c r="AM16" i="14"/>
  <c r="AL16" i="14"/>
  <c r="AP15" i="14"/>
  <c r="AO15" i="14"/>
  <c r="AN15" i="14"/>
  <c r="AM15" i="14"/>
  <c r="AL15" i="14"/>
  <c r="AM13" i="14"/>
  <c r="AJ13" i="14"/>
  <c r="AI13" i="14"/>
  <c r="AH13" i="14"/>
  <c r="AG13" i="14"/>
  <c r="AE13" i="14"/>
  <c r="AD13" i="14"/>
  <c r="AC13" i="14"/>
  <c r="AB13" i="14"/>
  <c r="Z13" i="14"/>
  <c r="Y13" i="14"/>
  <c r="X13" i="14"/>
  <c r="W13" i="14"/>
  <c r="U13" i="14"/>
  <c r="T13" i="14"/>
  <c r="S13" i="14"/>
  <c r="R13" i="14"/>
  <c r="P13" i="14"/>
  <c r="O13" i="14"/>
  <c r="N13" i="14"/>
  <c r="M13" i="14"/>
  <c r="K13" i="14"/>
  <c r="J13" i="14"/>
  <c r="I13" i="14"/>
  <c r="H13" i="14"/>
  <c r="F13" i="14"/>
  <c r="E13" i="14"/>
  <c r="D13" i="14"/>
  <c r="C13" i="14"/>
  <c r="B13" i="14"/>
  <c r="AO12" i="14"/>
  <c r="AO13" i="14" s="1"/>
  <c r="AN12" i="14"/>
  <c r="AM12" i="14"/>
  <c r="AL12" i="14"/>
  <c r="AK12" i="14"/>
  <c r="AF12" i="14"/>
  <c r="AA12" i="14"/>
  <c r="V12" i="14"/>
  <c r="Q12" i="14"/>
  <c r="Q13" i="14" s="1"/>
  <c r="L12" i="14"/>
  <c r="G12" i="14"/>
  <c r="AO11" i="14"/>
  <c r="AN11" i="14"/>
  <c r="AP11" i="14" s="1"/>
  <c r="AM11" i="14"/>
  <c r="AL11" i="14"/>
  <c r="AL13" i="14" s="1"/>
  <c r="AK11" i="14"/>
  <c r="AK13" i="14" s="1"/>
  <c r="AF11" i="14"/>
  <c r="AF13" i="14" s="1"/>
  <c r="AA11" i="14"/>
  <c r="AA13" i="14" s="1"/>
  <c r="V11" i="14"/>
  <c r="V13" i="14" s="1"/>
  <c r="Q11" i="14"/>
  <c r="L11" i="14"/>
  <c r="G11" i="14"/>
  <c r="AJ8" i="14"/>
  <c r="AI8" i="14"/>
  <c r="AH8" i="14"/>
  <c r="AG8" i="14"/>
  <c r="AE8" i="14"/>
  <c r="AD8" i="14"/>
  <c r="AC8" i="14"/>
  <c r="AB8" i="14"/>
  <c r="Z8" i="14"/>
  <c r="Y8" i="14"/>
  <c r="X8" i="14"/>
  <c r="W8" i="14"/>
  <c r="U8" i="14"/>
  <c r="T8" i="14"/>
  <c r="S8" i="14"/>
  <c r="R8" i="14"/>
  <c r="P8" i="14"/>
  <c r="O8" i="14"/>
  <c r="N8" i="14"/>
  <c r="M8" i="14"/>
  <c r="K8" i="14"/>
  <c r="J8" i="14"/>
  <c r="I8" i="14"/>
  <c r="H8" i="14"/>
  <c r="F8" i="14"/>
  <c r="E8" i="14"/>
  <c r="D8" i="14"/>
  <c r="C8" i="14"/>
  <c r="B8" i="14"/>
  <c r="AO7" i="14"/>
  <c r="AN7" i="14"/>
  <c r="AM7" i="14"/>
  <c r="AL7" i="14"/>
  <c r="AK7" i="14"/>
  <c r="AF7" i="14"/>
  <c r="AA7" i="14"/>
  <c r="V7" i="14"/>
  <c r="Q7" i="14"/>
  <c r="L7" i="14"/>
  <c r="G7" i="14"/>
  <c r="G8" i="14" s="1"/>
  <c r="AO6" i="14"/>
  <c r="AN6" i="14"/>
  <c r="AM6" i="14"/>
  <c r="AM8" i="14" s="1"/>
  <c r="AL6" i="14"/>
  <c r="AK6" i="14"/>
  <c r="AF6" i="14"/>
  <c r="AF8" i="14" s="1"/>
  <c r="AA6" i="14"/>
  <c r="AA8" i="14" s="1"/>
  <c r="V6" i="14"/>
  <c r="Q6" i="14"/>
  <c r="L6" i="14"/>
  <c r="G6" i="14"/>
  <c r="AL14" i="13"/>
  <c r="AO10" i="13"/>
  <c r="AN10" i="13"/>
  <c r="AM10" i="13"/>
  <c r="AL10" i="13"/>
  <c r="AP8" i="13"/>
  <c r="AO8" i="13"/>
  <c r="AN8" i="13"/>
  <c r="AM8" i="13"/>
  <c r="AL8" i="13"/>
  <c r="AO7" i="13"/>
  <c r="AN7" i="13"/>
  <c r="AM7" i="13"/>
  <c r="AP7" i="13" s="1"/>
  <c r="AL7" i="13"/>
  <c r="AK60" i="12"/>
  <c r="AJ60" i="12"/>
  <c r="AI60" i="12"/>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C60" i="12"/>
  <c r="B60" i="12"/>
  <c r="AL55" i="12"/>
  <c r="AK49" i="12"/>
  <c r="AJ49" i="12"/>
  <c r="AI49" i="12"/>
  <c r="AH49" i="12"/>
  <c r="AG49" i="12"/>
  <c r="AF49" i="12"/>
  <c r="AE49" i="12"/>
  <c r="AD49" i="12"/>
  <c r="AC49" i="12"/>
  <c r="AB49" i="12"/>
  <c r="AA49" i="12"/>
  <c r="Z49" i="12"/>
  <c r="Y49" i="12"/>
  <c r="X49" i="12"/>
  <c r="W49" i="12"/>
  <c r="V49" i="12"/>
  <c r="U49" i="12"/>
  <c r="T49" i="12"/>
  <c r="S49" i="12"/>
  <c r="R49" i="12"/>
  <c r="Q49" i="12"/>
  <c r="P49" i="12"/>
  <c r="O49" i="12"/>
  <c r="N49" i="12"/>
  <c r="M49" i="12"/>
  <c r="L49" i="12"/>
  <c r="K49" i="12"/>
  <c r="J49" i="12"/>
  <c r="I49" i="12"/>
  <c r="H49" i="12"/>
  <c r="G49" i="12"/>
  <c r="F49" i="12"/>
  <c r="E49" i="12"/>
  <c r="D49" i="12"/>
  <c r="C49" i="12"/>
  <c r="B49" i="12"/>
  <c r="AL45" i="12"/>
  <c r="AK38" i="12"/>
  <c r="AJ38" i="12"/>
  <c r="AI38" i="12"/>
  <c r="AH38" i="12"/>
  <c r="AG38" i="12"/>
  <c r="AF38" i="12"/>
  <c r="AE38" i="12"/>
  <c r="AD38" i="12"/>
  <c r="AC38" i="12"/>
  <c r="AB38" i="12"/>
  <c r="AA38" i="12"/>
  <c r="Z38" i="12"/>
  <c r="Y38" i="12"/>
  <c r="X38" i="12"/>
  <c r="W38" i="12"/>
  <c r="V38" i="12"/>
  <c r="U38" i="12"/>
  <c r="T38" i="12"/>
  <c r="S38" i="12"/>
  <c r="R38" i="12"/>
  <c r="Q38" i="12"/>
  <c r="P38" i="12"/>
  <c r="O38" i="12"/>
  <c r="N38" i="12"/>
  <c r="M38" i="12"/>
  <c r="L38" i="12"/>
  <c r="K38" i="12"/>
  <c r="J38" i="12"/>
  <c r="I38" i="12"/>
  <c r="H38" i="12"/>
  <c r="G38" i="12"/>
  <c r="F38" i="12"/>
  <c r="E38" i="12"/>
  <c r="D38" i="12"/>
  <c r="C38" i="12"/>
  <c r="B38" i="12"/>
  <c r="AO37" i="12"/>
  <c r="AP37" i="12" s="1"/>
  <c r="AN37" i="12"/>
  <c r="AM37" i="12"/>
  <c r="AL37" i="12"/>
  <c r="AO36" i="12"/>
  <c r="AN36" i="12"/>
  <c r="AM36" i="12"/>
  <c r="AL36" i="12"/>
  <c r="AP36" i="12" s="1"/>
  <c r="AP35" i="12"/>
  <c r="AO35" i="12"/>
  <c r="AN35" i="12"/>
  <c r="AM35" i="12"/>
  <c r="AL35" i="12"/>
  <c r="AO32" i="12"/>
  <c r="AO33" i="12" s="1"/>
  <c r="AN32" i="12"/>
  <c r="AN33" i="12" s="1"/>
  <c r="AM32" i="12"/>
  <c r="AL32" i="12"/>
  <c r="AK29" i="12"/>
  <c r="AJ29" i="12"/>
  <c r="AI29" i="12"/>
  <c r="AH29" i="12"/>
  <c r="AG29" i="12"/>
  <c r="AF29" i="12"/>
  <c r="AE29" i="12"/>
  <c r="AD29" i="12"/>
  <c r="AC29" i="12"/>
  <c r="AB29" i="12"/>
  <c r="AA29" i="12"/>
  <c r="Z29" i="12"/>
  <c r="Y29" i="12"/>
  <c r="X29" i="12"/>
  <c r="W29" i="12"/>
  <c r="V29" i="12"/>
  <c r="U29" i="12"/>
  <c r="T29" i="12"/>
  <c r="S29" i="12"/>
  <c r="R29" i="12"/>
  <c r="Q29" i="12"/>
  <c r="P29" i="12"/>
  <c r="O29" i="12"/>
  <c r="N29" i="12"/>
  <c r="M29" i="12"/>
  <c r="L29" i="12"/>
  <c r="K29" i="12"/>
  <c r="J29" i="12"/>
  <c r="I29" i="12"/>
  <c r="H29" i="12"/>
  <c r="G29" i="12"/>
  <c r="F29" i="12"/>
  <c r="E29" i="12"/>
  <c r="D29" i="12"/>
  <c r="C29" i="12"/>
  <c r="B29" i="12"/>
  <c r="AO28" i="12"/>
  <c r="AN28" i="12"/>
  <c r="AM28" i="12"/>
  <c r="AL28" i="12"/>
  <c r="AP28" i="12" s="1"/>
  <c r="AO25" i="12"/>
  <c r="AO26" i="12" s="1"/>
  <c r="AN25" i="12"/>
  <c r="AN26" i="12" s="1"/>
  <c r="AM25" i="12"/>
  <c r="AM29" i="12" s="1"/>
  <c r="AM30" i="12" s="1"/>
  <c r="AL25" i="12"/>
  <c r="AL26" i="12" s="1"/>
  <c r="AK22" i="12"/>
  <c r="AJ22" i="12"/>
  <c r="AI22" i="12"/>
  <c r="AH22" i="12"/>
  <c r="AG22" i="12"/>
  <c r="AF22" i="12"/>
  <c r="AE22" i="12"/>
  <c r="AD22" i="12"/>
  <c r="AC22" i="12"/>
  <c r="AB22" i="12"/>
  <c r="AA22" i="12"/>
  <c r="Z22" i="12"/>
  <c r="Y22" i="12"/>
  <c r="X22" i="12"/>
  <c r="W22" i="12"/>
  <c r="V22" i="12"/>
  <c r="U22" i="12"/>
  <c r="T22" i="12"/>
  <c r="S22" i="12"/>
  <c r="R22" i="12"/>
  <c r="Q22" i="12"/>
  <c r="P22" i="12"/>
  <c r="O22" i="12"/>
  <c r="N22" i="12"/>
  <c r="M22" i="12"/>
  <c r="L22" i="12"/>
  <c r="K22" i="12"/>
  <c r="J22" i="12"/>
  <c r="I22" i="12"/>
  <c r="H22" i="12"/>
  <c r="G22" i="12"/>
  <c r="F22" i="12"/>
  <c r="E22" i="12"/>
  <c r="D22" i="12"/>
  <c r="C22" i="12"/>
  <c r="B22" i="12"/>
  <c r="AO21" i="12"/>
  <c r="AN21" i="12"/>
  <c r="AM21" i="12"/>
  <c r="AL21" i="12"/>
  <c r="AO18" i="12"/>
  <c r="AN18" i="12"/>
  <c r="AM18" i="12"/>
  <c r="AL18" i="12"/>
  <c r="AK15" i="12"/>
  <c r="AJ15" i="12"/>
  <c r="AI15" i="12"/>
  <c r="AH15" i="12"/>
  <c r="AG15" i="12"/>
  <c r="AF15" i="12"/>
  <c r="AE15" i="12"/>
  <c r="AD15" i="12"/>
  <c r="AC15" i="12"/>
  <c r="AB15" i="12"/>
  <c r="AA15" i="12"/>
  <c r="Z15" i="12"/>
  <c r="Y15" i="12"/>
  <c r="X15" i="12"/>
  <c r="W15" i="12"/>
  <c r="V15" i="12"/>
  <c r="U15" i="12"/>
  <c r="T15" i="12"/>
  <c r="S15" i="12"/>
  <c r="R15" i="12"/>
  <c r="Q15" i="12"/>
  <c r="P15" i="12"/>
  <c r="O15" i="12"/>
  <c r="N15" i="12"/>
  <c r="M15" i="12"/>
  <c r="L15" i="12"/>
  <c r="K15" i="12"/>
  <c r="J15" i="12"/>
  <c r="I15" i="12"/>
  <c r="H15" i="12"/>
  <c r="G15" i="12"/>
  <c r="F15" i="12"/>
  <c r="E15" i="12"/>
  <c r="D15" i="12"/>
  <c r="C15" i="12"/>
  <c r="B15" i="12"/>
  <c r="AO14" i="12"/>
  <c r="AN14" i="12"/>
  <c r="AM14" i="12"/>
  <c r="AL14" i="12"/>
  <c r="AP14" i="12" s="1"/>
  <c r="AO13" i="12"/>
  <c r="AN13" i="12"/>
  <c r="AM13" i="12"/>
  <c r="AL13" i="12"/>
  <c r="AO12" i="12"/>
  <c r="AN12" i="12"/>
  <c r="AM12" i="12"/>
  <c r="AL12" i="12"/>
  <c r="AP12" i="12" s="1"/>
  <c r="AO7" i="12"/>
  <c r="AO19" i="12" s="1"/>
  <c r="AN7" i="12"/>
  <c r="AM7" i="12"/>
  <c r="AM26" i="12" s="1"/>
  <c r="AL7" i="12"/>
  <c r="AP7" i="12" s="1"/>
  <c r="L66" i="11"/>
  <c r="G66" i="11"/>
  <c r="F66" i="11"/>
  <c r="AO64" i="11"/>
  <c r="AN64" i="11"/>
  <c r="AM64" i="11"/>
  <c r="AL64" i="11"/>
  <c r="AJ64" i="11"/>
  <c r="AI64" i="11"/>
  <c r="AH64" i="11"/>
  <c r="AG64" i="11"/>
  <c r="AE64" i="11"/>
  <c r="AD64" i="11"/>
  <c r="AC64" i="11"/>
  <c r="AB64" i="11"/>
  <c r="AA64" i="11"/>
  <c r="V64" i="11"/>
  <c r="Q64" i="11"/>
  <c r="AO60" i="11"/>
  <c r="AN60" i="11"/>
  <c r="AM60" i="11"/>
  <c r="AL60" i="11"/>
  <c r="AJ60" i="11"/>
  <c r="AI60" i="11"/>
  <c r="AH60" i="11"/>
  <c r="AG60" i="11"/>
  <c r="AE60" i="11"/>
  <c r="AD60" i="11"/>
  <c r="AC60" i="11"/>
  <c r="AB60" i="11"/>
  <c r="AA60" i="11"/>
  <c r="V60" i="11"/>
  <c r="Q60" i="11"/>
  <c r="Z55" i="11"/>
  <c r="Y55" i="11"/>
  <c r="X55" i="11"/>
  <c r="W55" i="11"/>
  <c r="U55" i="11"/>
  <c r="T55" i="11"/>
  <c r="S55" i="11"/>
  <c r="R55" i="11"/>
  <c r="P55" i="11"/>
  <c r="O55" i="11"/>
  <c r="N55" i="11"/>
  <c r="M55" i="11"/>
  <c r="L55" i="11"/>
  <c r="K55" i="11"/>
  <c r="J55" i="11"/>
  <c r="I55" i="11"/>
  <c r="H55" i="11"/>
  <c r="G55" i="11"/>
  <c r="F55" i="11"/>
  <c r="E55" i="11"/>
  <c r="D55" i="11"/>
  <c r="C55" i="11"/>
  <c r="B55" i="11"/>
  <c r="AO54" i="11"/>
  <c r="AN54" i="11"/>
  <c r="AM54" i="11"/>
  <c r="AL54" i="11"/>
  <c r="AJ54" i="11"/>
  <c r="AI54" i="11"/>
  <c r="AH54" i="11"/>
  <c r="AG54" i="11"/>
  <c r="AK54" i="11" s="1"/>
  <c r="AE54" i="11"/>
  <c r="AD54" i="11"/>
  <c r="AC54" i="11"/>
  <c r="AB54" i="11"/>
  <c r="AA54" i="11"/>
  <c r="V54" i="11"/>
  <c r="Q54" i="11"/>
  <c r="AO53" i="11"/>
  <c r="AN53" i="11"/>
  <c r="AM53" i="11"/>
  <c r="AL53" i="11"/>
  <c r="AJ53" i="11"/>
  <c r="AI53" i="11"/>
  <c r="AH53" i="11"/>
  <c r="AG53" i="11"/>
  <c r="AE53" i="11"/>
  <c r="AD53" i="11"/>
  <c r="AC53" i="11"/>
  <c r="AB53" i="11"/>
  <c r="AA53" i="11"/>
  <c r="V53" i="11"/>
  <c r="Q53" i="11"/>
  <c r="AO52" i="11"/>
  <c r="AN52" i="11"/>
  <c r="AM52" i="11"/>
  <c r="AL52" i="11"/>
  <c r="AP52" i="11" s="1"/>
  <c r="AJ52" i="11"/>
  <c r="AI52" i="11"/>
  <c r="AH52" i="11"/>
  <c r="AG52" i="11"/>
  <c r="AE52" i="11"/>
  <c r="AD52" i="11"/>
  <c r="AC52" i="11"/>
  <c r="AB52" i="11"/>
  <c r="AA52" i="11"/>
  <c r="V52" i="11"/>
  <c r="Q52" i="11"/>
  <c r="AO51" i="11"/>
  <c r="AN51" i="11"/>
  <c r="AM51" i="11"/>
  <c r="AL51" i="11"/>
  <c r="AJ51" i="11"/>
  <c r="AJ55" i="11" s="1"/>
  <c r="AI51" i="11"/>
  <c r="AI55" i="11" s="1"/>
  <c r="AH51" i="11"/>
  <c r="AH55" i="11" s="1"/>
  <c r="AG51" i="11"/>
  <c r="AG55" i="11" s="1"/>
  <c r="AE51" i="11"/>
  <c r="AE55" i="11" s="1"/>
  <c r="AD51" i="11"/>
  <c r="AC51" i="11"/>
  <c r="AB51" i="11"/>
  <c r="AA51" i="11"/>
  <c r="AA55" i="11" s="1"/>
  <c r="V51" i="11"/>
  <c r="V55" i="11" s="1"/>
  <c r="Q51" i="11"/>
  <c r="Q55" i="11" s="1"/>
  <c r="W48" i="11"/>
  <c r="N48" i="11"/>
  <c r="Z47" i="11"/>
  <c r="Y47" i="11"/>
  <c r="Y57" i="11" s="1"/>
  <c r="X47" i="11"/>
  <c r="X48" i="11" s="1"/>
  <c r="W47" i="11"/>
  <c r="W57" i="11" s="1"/>
  <c r="U47" i="11"/>
  <c r="U48" i="11" s="1"/>
  <c r="T47" i="11"/>
  <c r="T48" i="11" s="1"/>
  <c r="S47" i="11"/>
  <c r="S57" i="11" s="1"/>
  <c r="S62" i="11" s="1"/>
  <c r="R47" i="11"/>
  <c r="P47" i="11"/>
  <c r="O47" i="11"/>
  <c r="O48" i="11" s="1"/>
  <c r="N47" i="11"/>
  <c r="N57" i="11" s="1"/>
  <c r="M47" i="11"/>
  <c r="M48" i="11" s="1"/>
  <c r="L47" i="11"/>
  <c r="L48" i="11" s="1"/>
  <c r="K47" i="11"/>
  <c r="K57" i="11" s="1"/>
  <c r="J47" i="11"/>
  <c r="I47" i="11"/>
  <c r="I57" i="11" s="1"/>
  <c r="H47" i="11"/>
  <c r="G47" i="11"/>
  <c r="G57" i="11" s="1"/>
  <c r="G58" i="11" s="1"/>
  <c r="F47" i="11"/>
  <c r="F57" i="11" s="1"/>
  <c r="F58" i="11" s="1"/>
  <c r="E47" i="11"/>
  <c r="E48" i="11" s="1"/>
  <c r="D47" i="11"/>
  <c r="D48" i="11" s="1"/>
  <c r="C47" i="11"/>
  <c r="C57" i="11" s="1"/>
  <c r="C62" i="11" s="1"/>
  <c r="B47" i="11"/>
  <c r="AO46" i="11"/>
  <c r="AN46" i="11"/>
  <c r="AM46" i="11"/>
  <c r="AL46" i="11"/>
  <c r="AJ46" i="11"/>
  <c r="AI46" i="11"/>
  <c r="AH46" i="11"/>
  <c r="AG46" i="11"/>
  <c r="AG47" i="11" s="1"/>
  <c r="AE46" i="11"/>
  <c r="AD46" i="11"/>
  <c r="AC46" i="11"/>
  <c r="AF46" i="11" s="1"/>
  <c r="AB46" i="11"/>
  <c r="AA46" i="11"/>
  <c r="V46" i="11"/>
  <c r="Q46" i="11"/>
  <c r="AO44" i="11"/>
  <c r="AN44" i="11"/>
  <c r="AM44" i="11"/>
  <c r="AL44" i="11"/>
  <c r="AJ44" i="11"/>
  <c r="AI44" i="11"/>
  <c r="AH44" i="11"/>
  <c r="AG44" i="11"/>
  <c r="AE44" i="11"/>
  <c r="AD44" i="11"/>
  <c r="AC44" i="11"/>
  <c r="AB44" i="11"/>
  <c r="AA44" i="11"/>
  <c r="AA47" i="11" s="1"/>
  <c r="V44" i="11"/>
  <c r="Q44" i="11"/>
  <c r="AO29" i="11"/>
  <c r="AN29" i="11"/>
  <c r="AM29" i="11"/>
  <c r="AL29" i="11"/>
  <c r="AK29" i="11"/>
  <c r="AF29" i="11"/>
  <c r="AA29" i="11"/>
  <c r="V29" i="11"/>
  <c r="Q29" i="11"/>
  <c r="AO25" i="11"/>
  <c r="AN25" i="11"/>
  <c r="AM25" i="11"/>
  <c r="AL25" i="11"/>
  <c r="AK25" i="11"/>
  <c r="AF25" i="11"/>
  <c r="AA25" i="11"/>
  <c r="V25" i="11"/>
  <c r="Q25" i="11"/>
  <c r="AO21" i="11"/>
  <c r="AN21" i="11"/>
  <c r="AM21" i="11"/>
  <c r="AL21" i="11"/>
  <c r="AK21" i="11"/>
  <c r="AF21" i="11"/>
  <c r="AA21" i="11"/>
  <c r="V21" i="11"/>
  <c r="Q21" i="11"/>
  <c r="AJ16" i="11"/>
  <c r="AI16" i="11"/>
  <c r="AH16" i="11"/>
  <c r="AG16" i="11"/>
  <c r="AE16" i="11"/>
  <c r="AD16" i="11"/>
  <c r="AC16" i="11"/>
  <c r="AB16" i="11"/>
  <c r="Z16" i="11"/>
  <c r="Y16" i="11"/>
  <c r="X16" i="11"/>
  <c r="W16" i="11"/>
  <c r="U16" i="11"/>
  <c r="T16" i="11"/>
  <c r="S16" i="11"/>
  <c r="R16" i="11"/>
  <c r="R18" i="11" s="1"/>
  <c r="R23" i="11" s="1"/>
  <c r="R27" i="11" s="1"/>
  <c r="R31" i="11" s="1"/>
  <c r="P16" i="11"/>
  <c r="O16" i="11"/>
  <c r="N16" i="11"/>
  <c r="M16" i="11"/>
  <c r="L16" i="11"/>
  <c r="K16" i="11"/>
  <c r="J16" i="11"/>
  <c r="I16" i="11"/>
  <c r="H16" i="11"/>
  <c r="G16" i="11"/>
  <c r="F16" i="11"/>
  <c r="E16" i="11"/>
  <c r="D16" i="11"/>
  <c r="C16" i="11"/>
  <c r="B16" i="11"/>
  <c r="AO15" i="11"/>
  <c r="AN15" i="11"/>
  <c r="AM15" i="11"/>
  <c r="AL15" i="11"/>
  <c r="AK15" i="11"/>
  <c r="AF15" i="11"/>
  <c r="AA15" i="11"/>
  <c r="V15" i="11"/>
  <c r="Q15" i="11"/>
  <c r="AO14" i="11"/>
  <c r="AN14" i="11"/>
  <c r="AM14" i="11"/>
  <c r="AL14" i="11"/>
  <c r="AK14" i="11"/>
  <c r="AF14" i="11"/>
  <c r="AA14" i="11"/>
  <c r="V14" i="11"/>
  <c r="Q14" i="11"/>
  <c r="AO13" i="11"/>
  <c r="AN13" i="11"/>
  <c r="AM13" i="11"/>
  <c r="AL13" i="11"/>
  <c r="AK13" i="11"/>
  <c r="AF13" i="11"/>
  <c r="AA13" i="11"/>
  <c r="V13" i="11"/>
  <c r="Q13" i="11"/>
  <c r="AO12" i="11"/>
  <c r="AN12" i="11"/>
  <c r="AM12" i="11"/>
  <c r="AL12" i="11"/>
  <c r="AP12" i="11" s="1"/>
  <c r="AK12" i="11"/>
  <c r="AK16" i="11" s="1"/>
  <c r="AF12" i="11"/>
  <c r="AA12" i="11"/>
  <c r="V12" i="11"/>
  <c r="Q12" i="11"/>
  <c r="AJ8" i="11"/>
  <c r="AJ9" i="11" s="1"/>
  <c r="AI8" i="11"/>
  <c r="AI9" i="11" s="1"/>
  <c r="AH8" i="11"/>
  <c r="AH9" i="11" s="1"/>
  <c r="AG8" i="11"/>
  <c r="AE8" i="11"/>
  <c r="AD8" i="11"/>
  <c r="AD9" i="11" s="1"/>
  <c r="AC8" i="11"/>
  <c r="AC18" i="11" s="1"/>
  <c r="AB8" i="11"/>
  <c r="AB9" i="11" s="1"/>
  <c r="Z8" i="11"/>
  <c r="Z9" i="11" s="1"/>
  <c r="Y8" i="11"/>
  <c r="X8" i="11"/>
  <c r="X18" i="11" s="1"/>
  <c r="X19" i="11" s="1"/>
  <c r="W8" i="11"/>
  <c r="U8" i="11"/>
  <c r="U18" i="11" s="1"/>
  <c r="T8" i="11"/>
  <c r="T9" i="11" s="1"/>
  <c r="S8" i="11"/>
  <c r="S9" i="11" s="1"/>
  <c r="R8" i="11"/>
  <c r="R9" i="11" s="1"/>
  <c r="P8" i="11"/>
  <c r="P18" i="11" s="1"/>
  <c r="O8" i="11"/>
  <c r="N8" i="11"/>
  <c r="M8" i="11"/>
  <c r="L8" i="11"/>
  <c r="L18" i="11" s="1"/>
  <c r="K8" i="11"/>
  <c r="K9" i="11" s="1"/>
  <c r="J8" i="11"/>
  <c r="J9" i="11" s="1"/>
  <c r="I8" i="11"/>
  <c r="H8" i="11"/>
  <c r="H18" i="11" s="1"/>
  <c r="G8" i="11"/>
  <c r="F8" i="11"/>
  <c r="E8" i="11"/>
  <c r="E9" i="11" s="1"/>
  <c r="D8" i="11"/>
  <c r="D9" i="11" s="1"/>
  <c r="C8" i="11"/>
  <c r="C9" i="11" s="1"/>
  <c r="B8" i="11"/>
  <c r="B9" i="11" s="1"/>
  <c r="AO7" i="11"/>
  <c r="AN7" i="11"/>
  <c r="AM7" i="11"/>
  <c r="AL7" i="11"/>
  <c r="AK7" i="11"/>
  <c r="AF7" i="11"/>
  <c r="AA7" i="11"/>
  <c r="V7" i="11"/>
  <c r="Q7" i="11"/>
  <c r="AO5" i="11"/>
  <c r="AO8" i="11" s="1"/>
  <c r="AN5" i="11"/>
  <c r="AM5" i="11"/>
  <c r="AL5" i="11"/>
  <c r="AK5" i="11"/>
  <c r="AK8" i="11" s="1"/>
  <c r="AK18" i="11" s="1"/>
  <c r="AF5" i="11"/>
  <c r="AA5" i="11"/>
  <c r="AA8" i="11" s="1"/>
  <c r="AA9" i="11" s="1"/>
  <c r="V5" i="11"/>
  <c r="Q5" i="11"/>
  <c r="Q8" i="11" s="1"/>
  <c r="J44" i="9"/>
  <c r="I44" i="9"/>
  <c r="G44" i="9"/>
  <c r="E44" i="9"/>
  <c r="C44" i="9"/>
  <c r="G43" i="9"/>
  <c r="E43" i="9"/>
  <c r="C43" i="9"/>
  <c r="G42" i="9"/>
  <c r="E42" i="9"/>
  <c r="C42" i="9"/>
  <c r="I42" i="9" s="1"/>
  <c r="J42" i="9" s="1"/>
  <c r="J39" i="9"/>
  <c r="I39" i="9"/>
  <c r="G39" i="9"/>
  <c r="E39" i="9"/>
  <c r="C39" i="9"/>
  <c r="G38" i="9"/>
  <c r="E38" i="9"/>
  <c r="G37" i="9"/>
  <c r="E37" i="9"/>
  <c r="C37" i="9"/>
  <c r="I37" i="9" s="1"/>
  <c r="J37" i="9" s="1"/>
  <c r="C10" i="9"/>
  <c r="L92" i="8"/>
  <c r="J92" i="8"/>
  <c r="F92" i="8"/>
  <c r="D92" i="8"/>
  <c r="L90" i="8"/>
  <c r="J90" i="8"/>
  <c r="F90" i="8"/>
  <c r="D90" i="8"/>
  <c r="L88" i="8"/>
  <c r="J88" i="8"/>
  <c r="F88" i="8"/>
  <c r="D88" i="8"/>
  <c r="AT82" i="8"/>
  <c r="AV81" i="8"/>
  <c r="AU81" i="8"/>
  <c r="AU82" i="8" s="1"/>
  <c r="AT81" i="8"/>
  <c r="AW80" i="8"/>
  <c r="AV80" i="8"/>
  <c r="AU80" i="8"/>
  <c r="AT80" i="8"/>
  <c r="AQ80" i="8"/>
  <c r="AP80" i="8"/>
  <c r="AO80" i="8"/>
  <c r="AN80" i="8"/>
  <c r="AH80" i="8"/>
  <c r="AW79" i="8"/>
  <c r="AW81" i="8" s="1"/>
  <c r="AV79" i="8"/>
  <c r="AU79" i="8"/>
  <c r="AT79" i="8"/>
  <c r="AH79" i="8"/>
  <c r="AB78" i="8"/>
  <c r="Z78" i="8"/>
  <c r="AB77" i="8"/>
  <c r="Z77" i="8"/>
  <c r="CJ76" i="8"/>
  <c r="CI76" i="8"/>
  <c r="CH76" i="8"/>
  <c r="CG76" i="8"/>
  <c r="CF76" i="8"/>
  <c r="AR76" i="8"/>
  <c r="DN75" i="8"/>
  <c r="DM75" i="8"/>
  <c r="DL75" i="8"/>
  <c r="DK75" i="8"/>
  <c r="DJ75" i="8"/>
  <c r="DH75" i="8"/>
  <c r="DG75" i="8"/>
  <c r="DF75" i="8"/>
  <c r="DE75" i="8"/>
  <c r="DD75" i="8"/>
  <c r="DB75" i="8"/>
  <c r="DA75" i="8"/>
  <c r="CZ75" i="8"/>
  <c r="CY75" i="8"/>
  <c r="CX75" i="8"/>
  <c r="CR75" i="8"/>
  <c r="CP75" i="8"/>
  <c r="CO75" i="8"/>
  <c r="CN75" i="8"/>
  <c r="CM75" i="8"/>
  <c r="CL75" i="8"/>
  <c r="CJ75" i="8"/>
  <c r="CI75" i="8"/>
  <c r="CH75" i="8"/>
  <c r="CG75" i="8"/>
  <c r="CF75" i="8"/>
  <c r="DN74" i="8"/>
  <c r="DM74" i="8"/>
  <c r="DL74" i="8"/>
  <c r="DK74" i="8"/>
  <c r="DJ74" i="8"/>
  <c r="DH74" i="8"/>
  <c r="DG74" i="8"/>
  <c r="DF74" i="8"/>
  <c r="DE74" i="8"/>
  <c r="DD74" i="8"/>
  <c r="DB74" i="8"/>
  <c r="DA74" i="8"/>
  <c r="CZ74" i="8"/>
  <c r="CY74" i="8"/>
  <c r="CX74" i="8"/>
  <c r="CU74" i="8"/>
  <c r="CT74" i="8"/>
  <c r="CS74" i="8"/>
  <c r="CR74" i="8"/>
  <c r="CP74" i="8"/>
  <c r="CO74" i="8"/>
  <c r="CN74" i="8"/>
  <c r="CM74" i="8"/>
  <c r="CL74" i="8"/>
  <c r="CI74" i="8"/>
  <c r="CH74" i="8"/>
  <c r="CG74" i="8"/>
  <c r="CF74" i="8"/>
  <c r="BP74" i="8"/>
  <c r="BJ74" i="8"/>
  <c r="BD74" i="8"/>
  <c r="CV74" i="8" s="1"/>
  <c r="AX74" i="8"/>
  <c r="AR74" i="8"/>
  <c r="CJ74" i="8" s="1"/>
  <c r="DT73" i="8"/>
  <c r="DS73" i="8"/>
  <c r="DR73" i="8"/>
  <c r="DQ73" i="8"/>
  <c r="DP73" i="8"/>
  <c r="DN73" i="8"/>
  <c r="DM73" i="8"/>
  <c r="DL73" i="8"/>
  <c r="DK73" i="8"/>
  <c r="DJ73" i="8"/>
  <c r="DG73" i="8"/>
  <c r="DF73" i="8"/>
  <c r="DE73" i="8"/>
  <c r="DD73" i="8"/>
  <c r="DA73" i="8"/>
  <c r="CZ73" i="8"/>
  <c r="CY73" i="8"/>
  <c r="CX73" i="8"/>
  <c r="CU73" i="8"/>
  <c r="CT73" i="8"/>
  <c r="CS73" i="8"/>
  <c r="CR73" i="8"/>
  <c r="CO73" i="8"/>
  <c r="CN73" i="8"/>
  <c r="CM73" i="8"/>
  <c r="CL73" i="8"/>
  <c r="CJ73" i="8"/>
  <c r="CI73" i="8"/>
  <c r="CH73" i="8"/>
  <c r="CG73" i="8"/>
  <c r="CF73" i="8"/>
  <c r="BV73" i="8"/>
  <c r="BP73" i="8"/>
  <c r="DH73" i="8" s="1"/>
  <c r="BJ73" i="8"/>
  <c r="DB73" i="8" s="1"/>
  <c r="BD73" i="8"/>
  <c r="CV73" i="8" s="1"/>
  <c r="AX73" i="8"/>
  <c r="CP73" i="8" s="1"/>
  <c r="AU73" i="8"/>
  <c r="AR73" i="8"/>
  <c r="DT72" i="8"/>
  <c r="DS72" i="8"/>
  <c r="DR72" i="8"/>
  <c r="DQ72" i="8"/>
  <c r="DP72" i="8"/>
  <c r="DN72" i="8"/>
  <c r="DM72" i="8"/>
  <c r="DL72" i="8"/>
  <c r="DK72" i="8"/>
  <c r="DJ72" i="8"/>
  <c r="DH72" i="8"/>
  <c r="DG72" i="8"/>
  <c r="DF72" i="8"/>
  <c r="DE72" i="8"/>
  <c r="DD72" i="8"/>
  <c r="DB72" i="8"/>
  <c r="DA72" i="8"/>
  <c r="CZ72" i="8"/>
  <c r="CY72" i="8"/>
  <c r="CX72" i="8"/>
  <c r="CV72" i="8"/>
  <c r="CU72" i="8"/>
  <c r="CT72" i="8"/>
  <c r="CS72" i="8"/>
  <c r="CR72" i="8"/>
  <c r="CP72" i="8"/>
  <c r="CO72" i="8"/>
  <c r="CN72" i="8"/>
  <c r="CM72" i="8"/>
  <c r="CL72" i="8"/>
  <c r="CJ72" i="8"/>
  <c r="CI72" i="8"/>
  <c r="CH72" i="8"/>
  <c r="CG72" i="8"/>
  <c r="CF72" i="8"/>
  <c r="AB71" i="8"/>
  <c r="Z71" i="8"/>
  <c r="AB70" i="8"/>
  <c r="Z70" i="8"/>
  <c r="DG69" i="8"/>
  <c r="DF69" i="8"/>
  <c r="DE69" i="8"/>
  <c r="DD69" i="8"/>
  <c r="DB69" i="8"/>
  <c r="DA69" i="8"/>
  <c r="CZ69" i="8"/>
  <c r="CY69" i="8"/>
  <c r="CX69" i="8"/>
  <c r="CU69" i="8"/>
  <c r="CT69" i="8"/>
  <c r="CS69" i="8"/>
  <c r="CR69" i="8"/>
  <c r="CL69" i="8"/>
  <c r="CJ69" i="8"/>
  <c r="CI69" i="8"/>
  <c r="CH69" i="8"/>
  <c r="CG69" i="8"/>
  <c r="CF69" i="8"/>
  <c r="BP69" i="8"/>
  <c r="DH69" i="8" s="1"/>
  <c r="BJ69" i="8"/>
  <c r="BD69" i="8"/>
  <c r="CV69" i="8" s="1"/>
  <c r="AU69" i="8"/>
  <c r="AR69" i="8"/>
  <c r="CI68" i="8"/>
  <c r="CH68" i="8"/>
  <c r="CG68" i="8"/>
  <c r="CF68" i="8"/>
  <c r="BP68" i="8"/>
  <c r="BJ68" i="8"/>
  <c r="BD68" i="8"/>
  <c r="AX68" i="8"/>
  <c r="AR68" i="8"/>
  <c r="CJ68" i="8" s="1"/>
  <c r="DG67" i="8"/>
  <c r="DF67" i="8"/>
  <c r="DE67" i="8"/>
  <c r="DD67" i="8"/>
  <c r="DB67" i="8"/>
  <c r="DA67" i="8"/>
  <c r="CZ67" i="8"/>
  <c r="CY67" i="8"/>
  <c r="CX67" i="8"/>
  <c r="CU67" i="8"/>
  <c r="CT67" i="8"/>
  <c r="CS67" i="8"/>
  <c r="CR67" i="8"/>
  <c r="CO67" i="8"/>
  <c r="CN67" i="8"/>
  <c r="CM67" i="8"/>
  <c r="CL67" i="8"/>
  <c r="CI67" i="8"/>
  <c r="CH67" i="8"/>
  <c r="CG67" i="8"/>
  <c r="CF67" i="8"/>
  <c r="BP67" i="8"/>
  <c r="DH67" i="8" s="1"/>
  <c r="BJ67" i="8"/>
  <c r="BD67" i="8"/>
  <c r="CV67" i="8" s="1"/>
  <c r="AX67" i="8"/>
  <c r="CP67" i="8" s="1"/>
  <c r="AR67" i="8"/>
  <c r="CJ67" i="8" s="1"/>
  <c r="DS66" i="8"/>
  <c r="DR66" i="8"/>
  <c r="DQ66" i="8"/>
  <c r="DP66" i="8"/>
  <c r="DM66" i="8"/>
  <c r="DL66" i="8"/>
  <c r="DK66" i="8"/>
  <c r="DJ66" i="8"/>
  <c r="DG66" i="8"/>
  <c r="DF66" i="8"/>
  <c r="DE66" i="8"/>
  <c r="DD66" i="8"/>
  <c r="DA66" i="8"/>
  <c r="CZ66" i="8"/>
  <c r="CY66" i="8"/>
  <c r="CX66" i="8"/>
  <c r="CV66" i="8"/>
  <c r="CU66" i="8"/>
  <c r="CT66" i="8"/>
  <c r="CS66" i="8"/>
  <c r="CR66" i="8"/>
  <c r="CP66" i="8"/>
  <c r="CO66" i="8"/>
  <c r="CN66" i="8"/>
  <c r="CM66" i="8"/>
  <c r="CL66" i="8"/>
  <c r="CI66" i="8"/>
  <c r="CH66" i="8"/>
  <c r="CG66" i="8"/>
  <c r="CF66" i="8"/>
  <c r="CB66" i="8"/>
  <c r="DT66" i="8" s="1"/>
  <c r="BV66" i="8"/>
  <c r="DN66" i="8" s="1"/>
  <c r="BP66" i="8"/>
  <c r="DH66" i="8" s="1"/>
  <c r="BJ66" i="8"/>
  <c r="DB66" i="8" s="1"/>
  <c r="BD66" i="8"/>
  <c r="AX66" i="8"/>
  <c r="AR66" i="8"/>
  <c r="CJ66" i="8" s="1"/>
  <c r="AB65" i="8"/>
  <c r="Z65" i="8"/>
  <c r="AB64" i="8"/>
  <c r="Z64" i="8"/>
  <c r="BU63" i="8"/>
  <c r="DT62" i="8"/>
  <c r="DS62" i="8"/>
  <c r="DR62" i="8"/>
  <c r="DQ62" i="8"/>
  <c r="DP62" i="8"/>
  <c r="DM62" i="8"/>
  <c r="DL62" i="8"/>
  <c r="DK62" i="8"/>
  <c r="DJ62" i="8"/>
  <c r="CB62" i="8"/>
  <c r="BV62" i="8"/>
  <c r="DN62" i="8" s="1"/>
  <c r="AU61" i="8"/>
  <c r="AB60" i="8"/>
  <c r="Z60" i="8"/>
  <c r="R60" i="8"/>
  <c r="P60" i="8"/>
  <c r="DS59" i="8"/>
  <c r="DR59" i="8"/>
  <c r="DQ59" i="8"/>
  <c r="DP59" i="8"/>
  <c r="DM59" i="8"/>
  <c r="DL59" i="8"/>
  <c r="DK59" i="8"/>
  <c r="DJ59" i="8"/>
  <c r="DH59" i="8"/>
  <c r="DG59" i="8"/>
  <c r="DF59" i="8"/>
  <c r="DE59" i="8"/>
  <c r="DD59" i="8"/>
  <c r="DA59" i="8"/>
  <c r="CZ59" i="8"/>
  <c r="CY59" i="8"/>
  <c r="CX59" i="8"/>
  <c r="CU59" i="8"/>
  <c r="CT59" i="8"/>
  <c r="CS59" i="8"/>
  <c r="CR59" i="8"/>
  <c r="CO59" i="8"/>
  <c r="CN59" i="8"/>
  <c r="CM59" i="8"/>
  <c r="CL59" i="8"/>
  <c r="CI59" i="8"/>
  <c r="CH59" i="8"/>
  <c r="CG59" i="8"/>
  <c r="CF59" i="8"/>
  <c r="CB59" i="8"/>
  <c r="DT59" i="8" s="1"/>
  <c r="BV59" i="8"/>
  <c r="DN59" i="8" s="1"/>
  <c r="BP59" i="8"/>
  <c r="BJ59" i="8"/>
  <c r="DB59" i="8" s="1"/>
  <c r="BD59" i="8"/>
  <c r="CV59" i="8" s="1"/>
  <c r="AX59" i="8"/>
  <c r="CP59" i="8" s="1"/>
  <c r="AR59" i="8"/>
  <c r="CJ59" i="8" s="1"/>
  <c r="DL57" i="8"/>
  <c r="CA57" i="8"/>
  <c r="BX57" i="8"/>
  <c r="BT57" i="8"/>
  <c r="BT58" i="8" s="1"/>
  <c r="BS57" i="8"/>
  <c r="BR57" i="8"/>
  <c r="BO57" i="8"/>
  <c r="BN57" i="8"/>
  <c r="BM57" i="8"/>
  <c r="BL57" i="8"/>
  <c r="BL58" i="8" s="1"/>
  <c r="BI57" i="8"/>
  <c r="BH57" i="8"/>
  <c r="BG57" i="8"/>
  <c r="BF57" i="8"/>
  <c r="BC57" i="8"/>
  <c r="BB57" i="8"/>
  <c r="BA57" i="8"/>
  <c r="BA58" i="8" s="1"/>
  <c r="AZ57" i="8"/>
  <c r="AX57" i="8"/>
  <c r="AW57" i="8"/>
  <c r="AV57" i="8"/>
  <c r="AU57" i="8"/>
  <c r="AT57" i="8"/>
  <c r="AQ57" i="8"/>
  <c r="AP57" i="8"/>
  <c r="AO57" i="8"/>
  <c r="AN57" i="8"/>
  <c r="DS56" i="8"/>
  <c r="DR56" i="8"/>
  <c r="DQ56" i="8"/>
  <c r="DP56" i="8"/>
  <c r="DN56" i="8"/>
  <c r="DM56" i="8"/>
  <c r="DL56" i="8"/>
  <c r="DK56" i="8"/>
  <c r="DJ56" i="8"/>
  <c r="DH56" i="8"/>
  <c r="DG56" i="8"/>
  <c r="DF56" i="8"/>
  <c r="DE56" i="8"/>
  <c r="DD56" i="8"/>
  <c r="DA56" i="8"/>
  <c r="CZ56" i="8"/>
  <c r="CY56" i="8"/>
  <c r="CX56" i="8"/>
  <c r="CU56" i="8"/>
  <c r="CT56" i="8"/>
  <c r="CS56" i="8"/>
  <c r="CR56" i="8"/>
  <c r="CP56" i="8"/>
  <c r="CO56" i="8"/>
  <c r="CN56" i="8"/>
  <c r="CM56" i="8"/>
  <c r="CL56" i="8"/>
  <c r="CI56" i="8"/>
  <c r="CH56" i="8"/>
  <c r="CG56" i="8"/>
  <c r="CF56" i="8"/>
  <c r="CB56" i="8"/>
  <c r="DT56" i="8" s="1"/>
  <c r="BV56" i="8"/>
  <c r="BP56" i="8"/>
  <c r="BJ56" i="8"/>
  <c r="DB56" i="8" s="1"/>
  <c r="BD56" i="8"/>
  <c r="CV56" i="8" s="1"/>
  <c r="AX56" i="8"/>
  <c r="AR56" i="8"/>
  <c r="CJ56" i="8" s="1"/>
  <c r="DS55" i="8"/>
  <c r="DR55" i="8"/>
  <c r="DQ55" i="8"/>
  <c r="DP55" i="8"/>
  <c r="DM55" i="8"/>
  <c r="DL55" i="8"/>
  <c r="DK55" i="8"/>
  <c r="DJ55" i="8"/>
  <c r="DG55" i="8"/>
  <c r="DF55" i="8"/>
  <c r="DE55" i="8"/>
  <c r="DD55" i="8"/>
  <c r="DA55" i="8"/>
  <c r="CZ55" i="8"/>
  <c r="CY55" i="8"/>
  <c r="CX55" i="8"/>
  <c r="CV55" i="8"/>
  <c r="CU55" i="8"/>
  <c r="CT55" i="8"/>
  <c r="CS55" i="8"/>
  <c r="CR55" i="8"/>
  <c r="CP55" i="8"/>
  <c r="CO55" i="8"/>
  <c r="CN55" i="8"/>
  <c r="CM55" i="8"/>
  <c r="CL55" i="8"/>
  <c r="CJ55" i="8"/>
  <c r="CI55" i="8"/>
  <c r="CH55" i="8"/>
  <c r="CG55" i="8"/>
  <c r="CF55" i="8"/>
  <c r="CB55" i="8"/>
  <c r="DT55" i="8" s="1"/>
  <c r="BV55" i="8"/>
  <c r="DN55" i="8" s="1"/>
  <c r="BP55" i="8"/>
  <c r="DH55" i="8" s="1"/>
  <c r="BJ55" i="8"/>
  <c r="BD55" i="8"/>
  <c r="AX55" i="8"/>
  <c r="AR55" i="8"/>
  <c r="DT54" i="8"/>
  <c r="DT57" i="8" s="1"/>
  <c r="DS54" i="8"/>
  <c r="DS57" i="8" s="1"/>
  <c r="DR54" i="8"/>
  <c r="DR57" i="8" s="1"/>
  <c r="DQ54" i="8"/>
  <c r="DP54" i="8"/>
  <c r="DP57" i="8" s="1"/>
  <c r="DM54" i="8"/>
  <c r="DL54" i="8"/>
  <c r="DK54" i="8"/>
  <c r="DK57" i="8" s="1"/>
  <c r="DJ54" i="8"/>
  <c r="DJ57" i="8" s="1"/>
  <c r="DG54" i="8"/>
  <c r="DG57" i="8" s="1"/>
  <c r="DF54" i="8"/>
  <c r="DE54" i="8"/>
  <c r="DE57" i="8" s="1"/>
  <c r="DD54" i="8"/>
  <c r="DD57" i="8" s="1"/>
  <c r="DB54" i="8"/>
  <c r="DA54" i="8"/>
  <c r="DA57" i="8" s="1"/>
  <c r="CZ54" i="8"/>
  <c r="CZ57" i="8" s="1"/>
  <c r="CY54" i="8"/>
  <c r="CY57" i="8" s="1"/>
  <c r="CX54" i="8"/>
  <c r="CU54" i="8"/>
  <c r="CU57" i="8" s="1"/>
  <c r="CT54" i="8"/>
  <c r="CS54" i="8"/>
  <c r="CS57" i="8" s="1"/>
  <c r="CR54" i="8"/>
  <c r="CR57" i="8" s="1"/>
  <c r="CP54" i="8"/>
  <c r="CP57" i="8" s="1"/>
  <c r="CO54" i="8"/>
  <c r="CO57" i="8" s="1"/>
  <c r="CN54" i="8"/>
  <c r="CN57" i="8" s="1"/>
  <c r="CM54" i="8"/>
  <c r="CM57" i="8" s="1"/>
  <c r="CL54" i="8"/>
  <c r="CL57" i="8" s="1"/>
  <c r="CI54" i="8"/>
  <c r="CI57" i="8" s="1"/>
  <c r="CH54" i="8"/>
  <c r="CH57" i="8" s="1"/>
  <c r="CG54" i="8"/>
  <c r="CG57" i="8" s="1"/>
  <c r="CF54" i="8"/>
  <c r="CF57" i="8" s="1"/>
  <c r="CB54" i="8"/>
  <c r="CB57" i="8" s="1"/>
  <c r="BV54" i="8"/>
  <c r="DN54" i="8" s="1"/>
  <c r="BP54" i="8"/>
  <c r="BP57" i="8" s="1"/>
  <c r="BJ54" i="8"/>
  <c r="BD54" i="8"/>
  <c r="AX54" i="8"/>
  <c r="AR54" i="8"/>
  <c r="AB53" i="8"/>
  <c r="Z53" i="8"/>
  <c r="R53" i="8"/>
  <c r="P53" i="8"/>
  <c r="BU48" i="8"/>
  <c r="BU58" i="8" s="1"/>
  <c r="BS48" i="8"/>
  <c r="BS58" i="8" s="1"/>
  <c r="BL48" i="8"/>
  <c r="BI48" i="8"/>
  <c r="BB48" i="8"/>
  <c r="BB58" i="8" s="1"/>
  <c r="AZ48" i="8"/>
  <c r="CR47" i="8"/>
  <c r="CO47" i="8"/>
  <c r="CH47" i="8"/>
  <c r="CF47" i="8"/>
  <c r="CA47" i="8"/>
  <c r="BZ47" i="8"/>
  <c r="BY47" i="8"/>
  <c r="BX47" i="8"/>
  <c r="BU47" i="8"/>
  <c r="BT47" i="8"/>
  <c r="BS47" i="8"/>
  <c r="BR47" i="8"/>
  <c r="BO47" i="8"/>
  <c r="BN47" i="8"/>
  <c r="BM47" i="8"/>
  <c r="BL47" i="8"/>
  <c r="BJ47" i="8"/>
  <c r="BI47" i="8"/>
  <c r="BH47" i="8"/>
  <c r="BG47" i="8"/>
  <c r="BF47" i="8"/>
  <c r="BC47" i="8"/>
  <c r="BB47" i="8"/>
  <c r="BA47" i="8"/>
  <c r="AZ47" i="8"/>
  <c r="AW47" i="8"/>
  <c r="AV47" i="8"/>
  <c r="AU47" i="8"/>
  <c r="AT47" i="8"/>
  <c r="AQ47" i="8"/>
  <c r="AP47" i="8"/>
  <c r="AO47" i="8"/>
  <c r="AN47" i="8"/>
  <c r="CI47" i="8" s="1"/>
  <c r="DT46" i="8"/>
  <c r="DS46" i="8"/>
  <c r="DR46" i="8"/>
  <c r="DQ46" i="8"/>
  <c r="DP46" i="8"/>
  <c r="DM46" i="8"/>
  <c r="DL46" i="8"/>
  <c r="DK46" i="8"/>
  <c r="DJ46" i="8"/>
  <c r="DG46" i="8"/>
  <c r="DF46" i="8"/>
  <c r="DE46" i="8"/>
  <c r="DD46" i="8"/>
  <c r="DB46" i="8"/>
  <c r="DA46" i="8"/>
  <c r="CZ46" i="8"/>
  <c r="CY46" i="8"/>
  <c r="CX46" i="8"/>
  <c r="CU46" i="8"/>
  <c r="CT46" i="8"/>
  <c r="CS46" i="8"/>
  <c r="CR46" i="8"/>
  <c r="CP46" i="8"/>
  <c r="CO46" i="8"/>
  <c r="CN46" i="8"/>
  <c r="CM46" i="8"/>
  <c r="CL46" i="8"/>
  <c r="CI46" i="8"/>
  <c r="CH46" i="8"/>
  <c r="CG46" i="8"/>
  <c r="CF46" i="8"/>
  <c r="CB46" i="8"/>
  <c r="BV46" i="8"/>
  <c r="DN46" i="8" s="1"/>
  <c r="BP46" i="8"/>
  <c r="DH46" i="8" s="1"/>
  <c r="BJ46" i="8"/>
  <c r="BD46" i="8"/>
  <c r="CV46" i="8" s="1"/>
  <c r="AX46" i="8"/>
  <c r="AR46" i="8"/>
  <c r="CJ46" i="8" s="1"/>
  <c r="DS45" i="8"/>
  <c r="DR45" i="8"/>
  <c r="DR47" i="8" s="1"/>
  <c r="DQ45" i="8"/>
  <c r="DP45" i="8"/>
  <c r="DM45" i="8"/>
  <c r="DL45" i="8"/>
  <c r="DK45" i="8"/>
  <c r="DJ45" i="8"/>
  <c r="DH45" i="8"/>
  <c r="DG45" i="8"/>
  <c r="DF45" i="8"/>
  <c r="DE45" i="8"/>
  <c r="DD45" i="8"/>
  <c r="DB45" i="8"/>
  <c r="DA45" i="8"/>
  <c r="CZ45" i="8"/>
  <c r="CY45" i="8"/>
  <c r="CY47" i="8" s="1"/>
  <c r="CX45" i="8"/>
  <c r="CV45" i="8"/>
  <c r="CU45" i="8"/>
  <c r="CT45" i="8"/>
  <c r="CS45" i="8"/>
  <c r="CR45" i="8"/>
  <c r="CP45" i="8"/>
  <c r="CO45" i="8"/>
  <c r="CN45" i="8"/>
  <c r="CM45" i="8"/>
  <c r="CL45" i="8"/>
  <c r="CI45" i="8"/>
  <c r="CH45" i="8"/>
  <c r="CG45" i="8"/>
  <c r="CF45" i="8"/>
  <c r="CB45" i="8"/>
  <c r="DT45" i="8" s="1"/>
  <c r="BV45" i="8"/>
  <c r="DN45" i="8" s="1"/>
  <c r="BP45" i="8"/>
  <c r="BJ45" i="8"/>
  <c r="BD45" i="8"/>
  <c r="AX45" i="8"/>
  <c r="AR45" i="8"/>
  <c r="CJ45" i="8" s="1"/>
  <c r="DS44" i="8"/>
  <c r="DR44" i="8"/>
  <c r="DQ44" i="8"/>
  <c r="DP44" i="8"/>
  <c r="DN44" i="8"/>
  <c r="DM44" i="8"/>
  <c r="DL44" i="8"/>
  <c r="DK44" i="8"/>
  <c r="DJ44" i="8"/>
  <c r="DG44" i="8"/>
  <c r="DF44" i="8"/>
  <c r="DE44" i="8"/>
  <c r="DD44" i="8"/>
  <c r="DB44" i="8"/>
  <c r="DA44" i="8"/>
  <c r="CZ44" i="8"/>
  <c r="CY44" i="8"/>
  <c r="CX44" i="8"/>
  <c r="CU44" i="8"/>
  <c r="CT44" i="8"/>
  <c r="CS44" i="8"/>
  <c r="CR44" i="8"/>
  <c r="CP44" i="8"/>
  <c r="CO44" i="8"/>
  <c r="CN44" i="8"/>
  <c r="CM44" i="8"/>
  <c r="CL44" i="8"/>
  <c r="CJ44" i="8"/>
  <c r="CI44" i="8"/>
  <c r="CH44" i="8"/>
  <c r="CG44" i="8"/>
  <c r="CF44" i="8"/>
  <c r="CB44" i="8"/>
  <c r="DT44" i="8" s="1"/>
  <c r="BV44" i="8"/>
  <c r="BP44" i="8"/>
  <c r="DH44" i="8" s="1"/>
  <c r="BJ44" i="8"/>
  <c r="BD44" i="8"/>
  <c r="CV44" i="8" s="1"/>
  <c r="AX44" i="8"/>
  <c r="AR44" i="8"/>
  <c r="DT43" i="8"/>
  <c r="DS43" i="8"/>
  <c r="DR43" i="8"/>
  <c r="DQ43" i="8"/>
  <c r="DP43" i="8"/>
  <c r="DN43" i="8"/>
  <c r="DM43" i="8"/>
  <c r="DL43" i="8"/>
  <c r="DK43" i="8"/>
  <c r="DJ43" i="8"/>
  <c r="DH43" i="8"/>
  <c r="DG43" i="8"/>
  <c r="DF43" i="8"/>
  <c r="DE43" i="8"/>
  <c r="DD43" i="8"/>
  <c r="DB43" i="8"/>
  <c r="DA43" i="8"/>
  <c r="CZ43" i="8"/>
  <c r="CY43" i="8"/>
  <c r="CX43" i="8"/>
  <c r="CU43" i="8"/>
  <c r="CT43" i="8"/>
  <c r="CS43" i="8"/>
  <c r="CR43" i="8"/>
  <c r="CO43" i="8"/>
  <c r="CN43" i="8"/>
  <c r="CM43" i="8"/>
  <c r="CL43" i="8"/>
  <c r="CI43" i="8"/>
  <c r="CH43" i="8"/>
  <c r="CG43" i="8"/>
  <c r="CF43" i="8"/>
  <c r="CB43" i="8"/>
  <c r="BV43" i="8"/>
  <c r="BP43" i="8"/>
  <c r="BJ43" i="8"/>
  <c r="BD43" i="8"/>
  <c r="CV43" i="8" s="1"/>
  <c r="AX43" i="8"/>
  <c r="CP43" i="8" s="1"/>
  <c r="AR43" i="8"/>
  <c r="CJ43" i="8" s="1"/>
  <c r="DS42" i="8"/>
  <c r="DR42" i="8"/>
  <c r="DQ42" i="8"/>
  <c r="DP42" i="8"/>
  <c r="DN42" i="8"/>
  <c r="DM42" i="8"/>
  <c r="DL42" i="8"/>
  <c r="DK42" i="8"/>
  <c r="DJ42" i="8"/>
  <c r="DG42" i="8"/>
  <c r="DF42" i="8"/>
  <c r="DE42" i="8"/>
  <c r="DD42" i="8"/>
  <c r="DA42" i="8"/>
  <c r="CZ42" i="8"/>
  <c r="CY42" i="8"/>
  <c r="CX42" i="8"/>
  <c r="CV42" i="8"/>
  <c r="CU42" i="8"/>
  <c r="CT42" i="8"/>
  <c r="CS42" i="8"/>
  <c r="CR42" i="8"/>
  <c r="CO42" i="8"/>
  <c r="CN42" i="8"/>
  <c r="CM42" i="8"/>
  <c r="CL42" i="8"/>
  <c r="CI42" i="8"/>
  <c r="CH42" i="8"/>
  <c r="CG42" i="8"/>
  <c r="CF42" i="8"/>
  <c r="CB42" i="8"/>
  <c r="DT42" i="8" s="1"/>
  <c r="BV42" i="8"/>
  <c r="BP42" i="8"/>
  <c r="DH42" i="8" s="1"/>
  <c r="BJ42" i="8"/>
  <c r="DB42" i="8" s="1"/>
  <c r="BD42" i="8"/>
  <c r="AX42" i="8"/>
  <c r="CP42" i="8" s="1"/>
  <c r="AR42" i="8"/>
  <c r="CJ42" i="8" s="1"/>
  <c r="DT41" i="8"/>
  <c r="DS41" i="8"/>
  <c r="DR41" i="8"/>
  <c r="DQ41" i="8"/>
  <c r="DP41" i="8"/>
  <c r="DP47" i="8" s="1"/>
  <c r="DN41" i="8"/>
  <c r="DM41" i="8"/>
  <c r="DM47" i="8" s="1"/>
  <c r="DL41" i="8"/>
  <c r="DK41" i="8"/>
  <c r="DK47" i="8" s="1"/>
  <c r="DJ41" i="8"/>
  <c r="DG41" i="8"/>
  <c r="DG47" i="8" s="1"/>
  <c r="DF41" i="8"/>
  <c r="DE41" i="8"/>
  <c r="DE47" i="8" s="1"/>
  <c r="DD41" i="8"/>
  <c r="DD47" i="8" s="1"/>
  <c r="DA41" i="8"/>
  <c r="DA47" i="8" s="1"/>
  <c r="CZ41" i="8"/>
  <c r="CZ47" i="8" s="1"/>
  <c r="CY41" i="8"/>
  <c r="CX41" i="8"/>
  <c r="CX47" i="8" s="1"/>
  <c r="CU41" i="8"/>
  <c r="CU47" i="8" s="1"/>
  <c r="CT41" i="8"/>
  <c r="CT47" i="8" s="1"/>
  <c r="CS41" i="8"/>
  <c r="CS47" i="8" s="1"/>
  <c r="CR41" i="8"/>
  <c r="CO41" i="8"/>
  <c r="CN41" i="8"/>
  <c r="CM41" i="8"/>
  <c r="CL41" i="8"/>
  <c r="CJ41" i="8"/>
  <c r="CI41" i="8"/>
  <c r="CH41" i="8"/>
  <c r="CG41" i="8"/>
  <c r="CF41" i="8"/>
  <c r="CB41" i="8"/>
  <c r="BV41" i="8"/>
  <c r="BP41" i="8"/>
  <c r="DH41" i="8" s="1"/>
  <c r="BJ41" i="8"/>
  <c r="DB41" i="8" s="1"/>
  <c r="DB47" i="8" s="1"/>
  <c r="BD41" i="8"/>
  <c r="CV41" i="8" s="1"/>
  <c r="AX41" i="8"/>
  <c r="AR41" i="8"/>
  <c r="AR47" i="8" s="1"/>
  <c r="CJ47" i="8" s="1"/>
  <c r="AB40" i="8"/>
  <c r="Z40" i="8"/>
  <c r="DM39" i="8"/>
  <c r="DK39" i="8"/>
  <c r="CH39" i="8"/>
  <c r="CA39" i="8"/>
  <c r="BZ39" i="8"/>
  <c r="BY39" i="8"/>
  <c r="BX39" i="8"/>
  <c r="BU39" i="8"/>
  <c r="BT39" i="8"/>
  <c r="BS39" i="8"/>
  <c r="BR39" i="8"/>
  <c r="BO39" i="8"/>
  <c r="BN39" i="8"/>
  <c r="BM39" i="8"/>
  <c r="BL39" i="8"/>
  <c r="BI39" i="8"/>
  <c r="BH39" i="8"/>
  <c r="BG39" i="8"/>
  <c r="BF39" i="8"/>
  <c r="BC39" i="8"/>
  <c r="BC61" i="8" s="1"/>
  <c r="BB39" i="8"/>
  <c r="BA39" i="8"/>
  <c r="AZ39" i="8"/>
  <c r="AW39" i="8"/>
  <c r="AV39" i="8"/>
  <c r="AU39" i="8"/>
  <c r="AT39" i="8"/>
  <c r="AQ39" i="8"/>
  <c r="AP39" i="8"/>
  <c r="AO39" i="8"/>
  <c r="AN39" i="8"/>
  <c r="DS38" i="8"/>
  <c r="DR38" i="8"/>
  <c r="DQ38" i="8"/>
  <c r="DP38" i="8"/>
  <c r="DN38" i="8"/>
  <c r="DM38" i="8"/>
  <c r="DL38" i="8"/>
  <c r="DK38" i="8"/>
  <c r="DJ38" i="8"/>
  <c r="DG38" i="8"/>
  <c r="DF38" i="8"/>
  <c r="DE38" i="8"/>
  <c r="DD38" i="8"/>
  <c r="DB38" i="8"/>
  <c r="DA38" i="8"/>
  <c r="CZ38" i="8"/>
  <c r="CY38" i="8"/>
  <c r="CX38" i="8"/>
  <c r="CU38" i="8"/>
  <c r="CT38" i="8"/>
  <c r="CS38" i="8"/>
  <c r="CR38" i="8"/>
  <c r="CO38" i="8"/>
  <c r="CN38" i="8"/>
  <c r="CM38" i="8"/>
  <c r="CL38" i="8"/>
  <c r="CI38" i="8"/>
  <c r="CH38" i="8"/>
  <c r="CG38" i="8"/>
  <c r="CF38" i="8"/>
  <c r="CB38" i="8"/>
  <c r="DT38" i="8" s="1"/>
  <c r="BV38" i="8"/>
  <c r="BP38" i="8"/>
  <c r="DH38" i="8" s="1"/>
  <c r="BJ38" i="8"/>
  <c r="BD38" i="8"/>
  <c r="CV38" i="8" s="1"/>
  <c r="AX38" i="8"/>
  <c r="CP38" i="8" s="1"/>
  <c r="AR38" i="8"/>
  <c r="CJ38" i="8" s="1"/>
  <c r="DB37" i="8"/>
  <c r="DA37" i="8"/>
  <c r="CZ37" i="8"/>
  <c r="CY37" i="8"/>
  <c r="CX37" i="8"/>
  <c r="CV37" i="8"/>
  <c r="CU37" i="8"/>
  <c r="CT37" i="8"/>
  <c r="CS37" i="8"/>
  <c r="CR37" i="8"/>
  <c r="CP37" i="8"/>
  <c r="CO37" i="8"/>
  <c r="CN37" i="8"/>
  <c r="CM37" i="8"/>
  <c r="CL37" i="8"/>
  <c r="CJ37" i="8"/>
  <c r="CI37" i="8"/>
  <c r="CH37" i="8"/>
  <c r="CG37" i="8"/>
  <c r="CF37" i="8"/>
  <c r="BD37" i="8"/>
  <c r="AX37" i="8"/>
  <c r="AR37" i="8"/>
  <c r="DB36" i="8"/>
  <c r="DA36" i="8"/>
  <c r="CZ36" i="8"/>
  <c r="CY36" i="8"/>
  <c r="CX36" i="8"/>
  <c r="CV36" i="8"/>
  <c r="CU36" i="8"/>
  <c r="CT36" i="8"/>
  <c r="CS36" i="8"/>
  <c r="CR36" i="8"/>
  <c r="CO36" i="8"/>
  <c r="CN36" i="8"/>
  <c r="CM36" i="8"/>
  <c r="CL36" i="8"/>
  <c r="CI36" i="8"/>
  <c r="CH36" i="8"/>
  <c r="CG36" i="8"/>
  <c r="CF36" i="8"/>
  <c r="BD36" i="8"/>
  <c r="AX36" i="8"/>
  <c r="CP36" i="8" s="1"/>
  <c r="AR36" i="8"/>
  <c r="CJ36" i="8" s="1"/>
  <c r="DN35" i="8"/>
  <c r="DM35" i="8"/>
  <c r="DL35" i="8"/>
  <c r="DK35" i="8"/>
  <c r="DJ35" i="8"/>
  <c r="DG35" i="8"/>
  <c r="DF35" i="8"/>
  <c r="DE35" i="8"/>
  <c r="DD35" i="8"/>
  <c r="DA35" i="8"/>
  <c r="CZ35" i="8"/>
  <c r="CY35" i="8"/>
  <c r="CX35" i="8"/>
  <c r="CU35" i="8"/>
  <c r="CT35" i="8"/>
  <c r="CS35" i="8"/>
  <c r="CR35" i="8"/>
  <c r="CP35" i="8"/>
  <c r="CO35" i="8"/>
  <c r="CN35" i="8"/>
  <c r="CM35" i="8"/>
  <c r="CL35" i="8"/>
  <c r="CJ35" i="8"/>
  <c r="CI35" i="8"/>
  <c r="CH35" i="8"/>
  <c r="CG35" i="8"/>
  <c r="CF35" i="8"/>
  <c r="BP35" i="8"/>
  <c r="DH35" i="8" s="1"/>
  <c r="BJ35" i="8"/>
  <c r="DB35" i="8" s="1"/>
  <c r="BD35" i="8"/>
  <c r="CV35" i="8" s="1"/>
  <c r="AX35" i="8"/>
  <c r="AR35" i="8"/>
  <c r="DB34" i="8"/>
  <c r="DA34" i="8"/>
  <c r="CZ34" i="8"/>
  <c r="CY34" i="8"/>
  <c r="CX34" i="8"/>
  <c r="CU34" i="8"/>
  <c r="CT34" i="8"/>
  <c r="CS34" i="8"/>
  <c r="CR34" i="8"/>
  <c r="CO34" i="8"/>
  <c r="CN34" i="8"/>
  <c r="CM34" i="8"/>
  <c r="CL34" i="8"/>
  <c r="CI34" i="8"/>
  <c r="CH34" i="8"/>
  <c r="CG34" i="8"/>
  <c r="CF34" i="8"/>
  <c r="BJ34" i="8"/>
  <c r="BD34" i="8"/>
  <c r="CV34" i="8" s="1"/>
  <c r="AX34" i="8"/>
  <c r="CP34" i="8" s="1"/>
  <c r="AR34" i="8"/>
  <c r="CJ34" i="8" s="1"/>
  <c r="DS33" i="8"/>
  <c r="DR33" i="8"/>
  <c r="DQ33" i="8"/>
  <c r="DP33" i="8"/>
  <c r="DN33" i="8"/>
  <c r="DM33" i="8"/>
  <c r="DL33" i="8"/>
  <c r="DK33" i="8"/>
  <c r="DJ33" i="8"/>
  <c r="DG33" i="8"/>
  <c r="DF33" i="8"/>
  <c r="DE33" i="8"/>
  <c r="DD33" i="8"/>
  <c r="DA33" i="8"/>
  <c r="CZ33" i="8"/>
  <c r="CY33" i="8"/>
  <c r="CX33" i="8"/>
  <c r="CU33" i="8"/>
  <c r="CT33" i="8"/>
  <c r="CS33" i="8"/>
  <c r="CR33" i="8"/>
  <c r="CO33" i="8"/>
  <c r="CN33" i="8"/>
  <c r="CM33" i="8"/>
  <c r="CL33" i="8"/>
  <c r="CJ33" i="8"/>
  <c r="CI33" i="8"/>
  <c r="CH33" i="8"/>
  <c r="CG33" i="8"/>
  <c r="CF33" i="8"/>
  <c r="CB33" i="8"/>
  <c r="DT33" i="8" s="1"/>
  <c r="BV33" i="8"/>
  <c r="BP33" i="8"/>
  <c r="DH33" i="8" s="1"/>
  <c r="BJ33" i="8"/>
  <c r="DB33" i="8" s="1"/>
  <c r="BD33" i="8"/>
  <c r="CV33" i="8" s="1"/>
  <c r="AX33" i="8"/>
  <c r="CP33" i="8" s="1"/>
  <c r="AR33" i="8"/>
  <c r="DT32" i="8"/>
  <c r="DT39" i="8" s="1"/>
  <c r="DS32" i="8"/>
  <c r="DR32" i="8"/>
  <c r="DQ32" i="8"/>
  <c r="DP32" i="8"/>
  <c r="DN32" i="8"/>
  <c r="DM32" i="8"/>
  <c r="DL32" i="8"/>
  <c r="DK32" i="8"/>
  <c r="DJ32" i="8"/>
  <c r="DG32" i="8"/>
  <c r="DF32" i="8"/>
  <c r="DE32" i="8"/>
  <c r="DD32" i="8"/>
  <c r="DA32" i="8"/>
  <c r="DA39" i="8" s="1"/>
  <c r="CZ32" i="8"/>
  <c r="CY32" i="8"/>
  <c r="CX32" i="8"/>
  <c r="CU32" i="8"/>
  <c r="CT32" i="8"/>
  <c r="CS32" i="8"/>
  <c r="CR32" i="8"/>
  <c r="CR39" i="8" s="1"/>
  <c r="CO32" i="8"/>
  <c r="CN32" i="8"/>
  <c r="CM32" i="8"/>
  <c r="CL32" i="8"/>
  <c r="CJ32" i="8"/>
  <c r="CI32" i="8"/>
  <c r="CH32" i="8"/>
  <c r="CG32" i="8"/>
  <c r="CF32" i="8"/>
  <c r="CB32" i="8"/>
  <c r="BV32" i="8"/>
  <c r="BP32" i="8"/>
  <c r="DH32" i="8" s="1"/>
  <c r="BJ32" i="8"/>
  <c r="DB32" i="8" s="1"/>
  <c r="BD32" i="8"/>
  <c r="CV32" i="8" s="1"/>
  <c r="AX32" i="8"/>
  <c r="CP32" i="8" s="1"/>
  <c r="AR32" i="8"/>
  <c r="DS31" i="8"/>
  <c r="DR31" i="8"/>
  <c r="DQ31" i="8"/>
  <c r="DP31" i="8"/>
  <c r="DM31" i="8"/>
  <c r="DL31" i="8"/>
  <c r="DK31" i="8"/>
  <c r="DJ31" i="8"/>
  <c r="DG31" i="8"/>
  <c r="DF31" i="8"/>
  <c r="DE31" i="8"/>
  <c r="DD31" i="8"/>
  <c r="DA31" i="8"/>
  <c r="CZ31" i="8"/>
  <c r="CY31" i="8"/>
  <c r="CX31" i="8"/>
  <c r="CU31" i="8"/>
  <c r="CT31" i="8"/>
  <c r="CS31" i="8"/>
  <c r="CR31" i="8"/>
  <c r="CP31" i="8"/>
  <c r="CO31" i="8"/>
  <c r="CN31" i="8"/>
  <c r="CM31" i="8"/>
  <c r="CL31" i="8"/>
  <c r="CI31" i="8"/>
  <c r="CH31" i="8"/>
  <c r="CG31" i="8"/>
  <c r="CF31" i="8"/>
  <c r="CB31" i="8"/>
  <c r="DT31" i="8" s="1"/>
  <c r="BV31" i="8"/>
  <c r="DN31" i="8" s="1"/>
  <c r="BP31" i="8"/>
  <c r="DH31" i="8" s="1"/>
  <c r="BJ31" i="8"/>
  <c r="DB31" i="8" s="1"/>
  <c r="BD31" i="8"/>
  <c r="CV31" i="8" s="1"/>
  <c r="AX31" i="8"/>
  <c r="AR31" i="8"/>
  <c r="CJ31" i="8" s="1"/>
  <c r="DS30" i="8"/>
  <c r="DR30" i="8"/>
  <c r="DR39" i="8" s="1"/>
  <c r="DQ30" i="8"/>
  <c r="DP30" i="8"/>
  <c r="DP39" i="8" s="1"/>
  <c r="DM30" i="8"/>
  <c r="DL30" i="8"/>
  <c r="DK30" i="8"/>
  <c r="DJ30" i="8"/>
  <c r="DG30" i="8"/>
  <c r="DF30" i="8"/>
  <c r="DF39" i="8" s="1"/>
  <c r="DE30" i="8"/>
  <c r="DE39" i="8" s="1"/>
  <c r="DD30" i="8"/>
  <c r="DD39" i="8" s="1"/>
  <c r="DA30" i="8"/>
  <c r="CZ30" i="8"/>
  <c r="CZ39" i="8" s="1"/>
  <c r="CY30" i="8"/>
  <c r="CY39" i="8" s="1"/>
  <c r="CX30" i="8"/>
  <c r="CV30" i="8"/>
  <c r="CU30" i="8"/>
  <c r="CU39" i="8" s="1"/>
  <c r="CT30" i="8"/>
  <c r="CT39" i="8" s="1"/>
  <c r="CS30" i="8"/>
  <c r="CR30" i="8"/>
  <c r="CP30" i="8"/>
  <c r="CO30" i="8"/>
  <c r="CO39" i="8" s="1"/>
  <c r="CN30" i="8"/>
  <c r="CM30" i="8"/>
  <c r="CM39" i="8" s="1"/>
  <c r="CL30" i="8"/>
  <c r="CL39" i="8" s="1"/>
  <c r="CJ30" i="8"/>
  <c r="CJ39" i="8" s="1"/>
  <c r="CI30" i="8"/>
  <c r="CI39" i="8" s="1"/>
  <c r="CH30" i="8"/>
  <c r="CG30" i="8"/>
  <c r="CG39" i="8" s="1"/>
  <c r="CF30" i="8"/>
  <c r="CF39" i="8" s="1"/>
  <c r="CB30" i="8"/>
  <c r="DT30" i="8" s="1"/>
  <c r="BV30" i="8"/>
  <c r="DN30" i="8" s="1"/>
  <c r="BP30" i="8"/>
  <c r="DH30" i="8" s="1"/>
  <c r="DH39" i="8" s="1"/>
  <c r="BJ30" i="8"/>
  <c r="BD30" i="8"/>
  <c r="BD39" i="8" s="1"/>
  <c r="AX30" i="8"/>
  <c r="AR30" i="8"/>
  <c r="AB29" i="8"/>
  <c r="Z29" i="8"/>
  <c r="CM28" i="8"/>
  <c r="CA28" i="8"/>
  <c r="BZ28" i="8"/>
  <c r="BZ61" i="8" s="1"/>
  <c r="BY28" i="8"/>
  <c r="BY48" i="8" s="1"/>
  <c r="BY58" i="8" s="1"/>
  <c r="BU28" i="8"/>
  <c r="BU61" i="8" s="1"/>
  <c r="BT28" i="8"/>
  <c r="BT48" i="8" s="1"/>
  <c r="BS28" i="8"/>
  <c r="BS61" i="8" s="1"/>
  <c r="BR28" i="8"/>
  <c r="BO28" i="8"/>
  <c r="BN28" i="8"/>
  <c r="BN61" i="8" s="1"/>
  <c r="BM28" i="8"/>
  <c r="BL28" i="8"/>
  <c r="BL61" i="8" s="1"/>
  <c r="BI28" i="8"/>
  <c r="BI61" i="8" s="1"/>
  <c r="BH28" i="8"/>
  <c r="BG28" i="8"/>
  <c r="BG61" i="8" s="1"/>
  <c r="BF28" i="8"/>
  <c r="BC28" i="8"/>
  <c r="BB28" i="8"/>
  <c r="BB61" i="8" s="1"/>
  <c r="BA28" i="8"/>
  <c r="BA48" i="8" s="1"/>
  <c r="AZ28" i="8"/>
  <c r="AZ61" i="8" s="1"/>
  <c r="AW28" i="8"/>
  <c r="AW61" i="8" s="1"/>
  <c r="AV28" i="8"/>
  <c r="AU28" i="8"/>
  <c r="AU84" i="8" s="1"/>
  <c r="AT28" i="8"/>
  <c r="AT84" i="8" s="1"/>
  <c r="DS27" i="8"/>
  <c r="DR27" i="8"/>
  <c r="DQ27" i="8"/>
  <c r="DP27" i="8"/>
  <c r="DN27" i="8"/>
  <c r="DM27" i="8"/>
  <c r="DL27" i="8"/>
  <c r="DK27" i="8"/>
  <c r="DJ27" i="8"/>
  <c r="DG27" i="8"/>
  <c r="DF27" i="8"/>
  <c r="DE27" i="8"/>
  <c r="DD27" i="8"/>
  <c r="DA27" i="8"/>
  <c r="CZ27" i="8"/>
  <c r="CY27" i="8"/>
  <c r="CX27" i="8"/>
  <c r="CU27" i="8"/>
  <c r="CT27" i="8"/>
  <c r="CS27" i="8"/>
  <c r="CR27" i="8"/>
  <c r="CO27" i="8"/>
  <c r="CN27" i="8"/>
  <c r="CM27" i="8"/>
  <c r="CL27" i="8"/>
  <c r="CJ27" i="8"/>
  <c r="CI27" i="8"/>
  <c r="CH27" i="8"/>
  <c r="CG27" i="8"/>
  <c r="CF27" i="8"/>
  <c r="CB27" i="8"/>
  <c r="DT27" i="8" s="1"/>
  <c r="BV27" i="8"/>
  <c r="BP27" i="8"/>
  <c r="DH27" i="8" s="1"/>
  <c r="BJ27" i="8"/>
  <c r="DB27" i="8" s="1"/>
  <c r="BD27" i="8"/>
  <c r="CV27" i="8" s="1"/>
  <c r="AX27" i="8"/>
  <c r="CP27" i="8" s="1"/>
  <c r="AR27" i="8"/>
  <c r="DT26" i="8"/>
  <c r="DS26" i="8"/>
  <c r="DR26" i="8"/>
  <c r="DQ26" i="8"/>
  <c r="DP26" i="8"/>
  <c r="DN26" i="8"/>
  <c r="DM26" i="8"/>
  <c r="DL26" i="8"/>
  <c r="DK26" i="8"/>
  <c r="DJ26" i="8"/>
  <c r="DG26" i="8"/>
  <c r="DF26" i="8"/>
  <c r="DE26" i="8"/>
  <c r="DD26" i="8"/>
  <c r="DA26" i="8"/>
  <c r="CZ26" i="8"/>
  <c r="CY26" i="8"/>
  <c r="CX26" i="8"/>
  <c r="CU26" i="8"/>
  <c r="CT26" i="8"/>
  <c r="CS26" i="8"/>
  <c r="CR26" i="8"/>
  <c r="CO26" i="8"/>
  <c r="CN26" i="8"/>
  <c r="CM26" i="8"/>
  <c r="CL26" i="8"/>
  <c r="CJ26" i="8"/>
  <c r="CI26" i="8"/>
  <c r="CH26" i="8"/>
  <c r="CG26" i="8"/>
  <c r="CF26" i="8"/>
  <c r="CB26" i="8"/>
  <c r="BV26" i="8"/>
  <c r="BP26" i="8"/>
  <c r="DH26" i="8" s="1"/>
  <c r="BJ26" i="8"/>
  <c r="DB26" i="8" s="1"/>
  <c r="BD26" i="8"/>
  <c r="CV26" i="8" s="1"/>
  <c r="AX26" i="8"/>
  <c r="CP26" i="8" s="1"/>
  <c r="AR26" i="8"/>
  <c r="DS25" i="8"/>
  <c r="DM25" i="8"/>
  <c r="DJ25" i="8"/>
  <c r="DG25" i="8"/>
  <c r="DF25" i="8"/>
  <c r="DE25" i="8"/>
  <c r="DD25" i="8"/>
  <c r="DA25" i="8"/>
  <c r="CZ25" i="8"/>
  <c r="CY25" i="8"/>
  <c r="CV25" i="8"/>
  <c r="CU25" i="8"/>
  <c r="CT25" i="8"/>
  <c r="CS25" i="8"/>
  <c r="CR25" i="8"/>
  <c r="CO25" i="8"/>
  <c r="CN25" i="8"/>
  <c r="CM25" i="8"/>
  <c r="CL25" i="8"/>
  <c r="CJ25" i="8"/>
  <c r="CI25" i="8"/>
  <c r="CH25" i="8"/>
  <c r="CG25" i="8"/>
  <c r="CF25" i="8"/>
  <c r="BX25" i="8"/>
  <c r="BR25" i="8"/>
  <c r="BV25" i="8" s="1"/>
  <c r="DN25" i="8" s="1"/>
  <c r="BP25" i="8"/>
  <c r="DH25" i="8" s="1"/>
  <c r="BJ25" i="8"/>
  <c r="DB25" i="8" s="1"/>
  <c r="BD25" i="8"/>
  <c r="AX25" i="8"/>
  <c r="CP25" i="8" s="1"/>
  <c r="AR25" i="8"/>
  <c r="DS24" i="8"/>
  <c r="DR24" i="8"/>
  <c r="DQ24" i="8"/>
  <c r="DP24" i="8"/>
  <c r="DN24" i="8"/>
  <c r="DM24" i="8"/>
  <c r="DL24" i="8"/>
  <c r="DK24" i="8"/>
  <c r="DJ24" i="8"/>
  <c r="DG24" i="8"/>
  <c r="DF24" i="8"/>
  <c r="DE24" i="8"/>
  <c r="DD24" i="8"/>
  <c r="DA24" i="8"/>
  <c r="CZ24" i="8"/>
  <c r="CY24" i="8"/>
  <c r="CX24" i="8"/>
  <c r="CU24" i="8"/>
  <c r="CT24" i="8"/>
  <c r="CS24" i="8"/>
  <c r="CR24" i="8"/>
  <c r="CO24" i="8"/>
  <c r="CN24" i="8"/>
  <c r="CM24" i="8"/>
  <c r="CL24" i="8"/>
  <c r="CJ24" i="8"/>
  <c r="CI24" i="8"/>
  <c r="CH24" i="8"/>
  <c r="CG24" i="8"/>
  <c r="CF24" i="8"/>
  <c r="CB24" i="8"/>
  <c r="DT24" i="8" s="1"/>
  <c r="BV24" i="8"/>
  <c r="BP24" i="8"/>
  <c r="DH24" i="8" s="1"/>
  <c r="BJ24" i="8"/>
  <c r="DB24" i="8" s="1"/>
  <c r="BD24" i="8"/>
  <c r="CV24" i="8" s="1"/>
  <c r="AX24" i="8"/>
  <c r="CP24" i="8" s="1"/>
  <c r="AR24" i="8"/>
  <c r="DS23" i="8"/>
  <c r="DR23" i="8"/>
  <c r="DQ23" i="8"/>
  <c r="DP23" i="8"/>
  <c r="DN23" i="8"/>
  <c r="DM23" i="8"/>
  <c r="DL23" i="8"/>
  <c r="DK23" i="8"/>
  <c r="DJ23" i="8"/>
  <c r="DG23" i="8"/>
  <c r="DF23" i="8"/>
  <c r="DE23" i="8"/>
  <c r="DD23" i="8"/>
  <c r="DA23" i="8"/>
  <c r="CZ23" i="8"/>
  <c r="CY23" i="8"/>
  <c r="CX23" i="8"/>
  <c r="CU23" i="8"/>
  <c r="CT23" i="8"/>
  <c r="CS23" i="8"/>
  <c r="CR23" i="8"/>
  <c r="CP23" i="8"/>
  <c r="CO23" i="8"/>
  <c r="CN23" i="8"/>
  <c r="CM23" i="8"/>
  <c r="CL23" i="8"/>
  <c r="CI23" i="8"/>
  <c r="CH23" i="8"/>
  <c r="CG23" i="8"/>
  <c r="CF23" i="8"/>
  <c r="CB23" i="8"/>
  <c r="DT23" i="8" s="1"/>
  <c r="BV23" i="8"/>
  <c r="BP23" i="8"/>
  <c r="DH23" i="8" s="1"/>
  <c r="BJ23" i="8"/>
  <c r="DB23" i="8" s="1"/>
  <c r="BD23" i="8"/>
  <c r="CV23" i="8" s="1"/>
  <c r="AX23" i="8"/>
  <c r="AR23" i="8"/>
  <c r="CJ23" i="8" s="1"/>
  <c r="DT22" i="8"/>
  <c r="DS22" i="8"/>
  <c r="DR22" i="8"/>
  <c r="DQ22" i="8"/>
  <c r="DP22" i="8"/>
  <c r="DM22" i="8"/>
  <c r="DL22" i="8"/>
  <c r="DK22" i="8"/>
  <c r="DJ22" i="8"/>
  <c r="DG22" i="8"/>
  <c r="DF22" i="8"/>
  <c r="DE22" i="8"/>
  <c r="DD22" i="8"/>
  <c r="DA22" i="8"/>
  <c r="CZ22" i="8"/>
  <c r="CY22" i="8"/>
  <c r="CX22" i="8"/>
  <c r="CV22" i="8"/>
  <c r="CU22" i="8"/>
  <c r="CT22" i="8"/>
  <c r="CS22" i="8"/>
  <c r="CR22" i="8"/>
  <c r="CO22" i="8"/>
  <c r="CN22" i="8"/>
  <c r="CM22" i="8"/>
  <c r="CM80" i="8" s="1"/>
  <c r="CL22" i="8"/>
  <c r="CJ22" i="8"/>
  <c r="CI22" i="8"/>
  <c r="CH22" i="8"/>
  <c r="CG22" i="8"/>
  <c r="CF22" i="8"/>
  <c r="CB22" i="8"/>
  <c r="BV22" i="8"/>
  <c r="DN22" i="8" s="1"/>
  <c r="BP22" i="8"/>
  <c r="DH22" i="8" s="1"/>
  <c r="BJ22" i="8"/>
  <c r="DB22" i="8" s="1"/>
  <c r="BD22" i="8"/>
  <c r="AX22" i="8"/>
  <c r="CP22" i="8" s="1"/>
  <c r="AR22" i="8"/>
  <c r="DT21" i="8"/>
  <c r="DS21" i="8"/>
  <c r="DR21" i="8"/>
  <c r="DQ21" i="8"/>
  <c r="DP21" i="8"/>
  <c r="DN21" i="8"/>
  <c r="DM21" i="8"/>
  <c r="DL21" i="8"/>
  <c r="DK21" i="8"/>
  <c r="DJ21" i="8"/>
  <c r="DG21" i="8"/>
  <c r="DF21" i="8"/>
  <c r="DE21" i="8"/>
  <c r="DD21" i="8"/>
  <c r="DB21" i="8"/>
  <c r="DA21" i="8"/>
  <c r="CZ21" i="8"/>
  <c r="CY21" i="8"/>
  <c r="CX21" i="8"/>
  <c r="CV21" i="8"/>
  <c r="CU21" i="8"/>
  <c r="CT21" i="8"/>
  <c r="CS21" i="8"/>
  <c r="CR21" i="8"/>
  <c r="CP21" i="8"/>
  <c r="CO21" i="8"/>
  <c r="CN21" i="8"/>
  <c r="CN80" i="8" s="1"/>
  <c r="CM21" i="8"/>
  <c r="CL21" i="8"/>
  <c r="CI21" i="8"/>
  <c r="CI80" i="8" s="1"/>
  <c r="CH21" i="8"/>
  <c r="CG21" i="8"/>
  <c r="CF21" i="8"/>
  <c r="CB21" i="8"/>
  <c r="BV21" i="8"/>
  <c r="BP21" i="8"/>
  <c r="DH21" i="8" s="1"/>
  <c r="AX21" i="8"/>
  <c r="AX80" i="8" s="1"/>
  <c r="AR21" i="8"/>
  <c r="AB21" i="8"/>
  <c r="Z21" i="8"/>
  <c r="DT20" i="8"/>
  <c r="DS20" i="8"/>
  <c r="DR20" i="8"/>
  <c r="DQ20" i="8"/>
  <c r="DP20" i="8"/>
  <c r="DM20" i="8"/>
  <c r="DL20" i="8"/>
  <c r="DK20" i="8"/>
  <c r="DJ20" i="8"/>
  <c r="DH20" i="8"/>
  <c r="DG20" i="8"/>
  <c r="DF20" i="8"/>
  <c r="DE20" i="8"/>
  <c r="DD20" i="8"/>
  <c r="DA20" i="8"/>
  <c r="CZ20" i="8"/>
  <c r="CY20" i="8"/>
  <c r="CX20" i="8"/>
  <c r="CV20" i="8"/>
  <c r="CU20" i="8"/>
  <c r="CT20" i="8"/>
  <c r="CS20" i="8"/>
  <c r="CR20" i="8"/>
  <c r="CO20" i="8"/>
  <c r="CN20" i="8"/>
  <c r="CM20" i="8"/>
  <c r="CL20" i="8"/>
  <c r="CJ20" i="8"/>
  <c r="CI20" i="8"/>
  <c r="CH20" i="8"/>
  <c r="CG20" i="8"/>
  <c r="CF20" i="8"/>
  <c r="CB20" i="8"/>
  <c r="BV20" i="8"/>
  <c r="DN20" i="8" s="1"/>
  <c r="BP20" i="8"/>
  <c r="BJ20" i="8"/>
  <c r="DB20" i="8" s="1"/>
  <c r="BD20" i="8"/>
  <c r="AX20" i="8"/>
  <c r="CP20" i="8" s="1"/>
  <c r="AR20" i="8"/>
  <c r="DT19" i="8"/>
  <c r="DS19" i="8"/>
  <c r="DR19" i="8"/>
  <c r="DQ19" i="8"/>
  <c r="DP19" i="8"/>
  <c r="DN19" i="8"/>
  <c r="DM19" i="8"/>
  <c r="DL19" i="8"/>
  <c r="DK19" i="8"/>
  <c r="DJ19" i="8"/>
  <c r="DG19" i="8"/>
  <c r="DF19" i="8"/>
  <c r="DE19" i="8"/>
  <c r="DD19" i="8"/>
  <c r="DB19" i="8"/>
  <c r="DA19" i="8"/>
  <c r="CZ19" i="8"/>
  <c r="CY19" i="8"/>
  <c r="CX19" i="8"/>
  <c r="CU19" i="8"/>
  <c r="CT19" i="8"/>
  <c r="CS19" i="8"/>
  <c r="CR19" i="8"/>
  <c r="CP19" i="8"/>
  <c r="CO19" i="8"/>
  <c r="CN19" i="8"/>
  <c r="CM19" i="8"/>
  <c r="CL19" i="8"/>
  <c r="CI19" i="8"/>
  <c r="CH19" i="8"/>
  <c r="CG19" i="8"/>
  <c r="CF19" i="8"/>
  <c r="CB19" i="8"/>
  <c r="BV19" i="8"/>
  <c r="BP19" i="8"/>
  <c r="DH19" i="8" s="1"/>
  <c r="BJ19" i="8"/>
  <c r="BD19" i="8"/>
  <c r="CV19" i="8" s="1"/>
  <c r="AX19" i="8"/>
  <c r="AR19" i="8"/>
  <c r="CJ19" i="8" s="1"/>
  <c r="CO18" i="8"/>
  <c r="CN18" i="8"/>
  <c r="CM18" i="8"/>
  <c r="CL18" i="8"/>
  <c r="CI18" i="8"/>
  <c r="CH18" i="8"/>
  <c r="CG18" i="8"/>
  <c r="CF18" i="8"/>
  <c r="BJ18" i="8"/>
  <c r="BD18" i="8"/>
  <c r="AX18" i="8"/>
  <c r="CP18" i="8" s="1"/>
  <c r="AR18" i="8"/>
  <c r="CJ18" i="8" s="1"/>
  <c r="DS17" i="8"/>
  <c r="DR17" i="8"/>
  <c r="DQ17" i="8"/>
  <c r="DP17" i="8"/>
  <c r="DN17" i="8"/>
  <c r="DM17" i="8"/>
  <c r="DL17" i="8"/>
  <c r="DK17" i="8"/>
  <c r="DJ17" i="8"/>
  <c r="DH17" i="8"/>
  <c r="DG17" i="8"/>
  <c r="DF17" i="8"/>
  <c r="DE17" i="8"/>
  <c r="DD17" i="8"/>
  <c r="DB17" i="8"/>
  <c r="DA17" i="8"/>
  <c r="CZ17" i="8"/>
  <c r="CY17" i="8"/>
  <c r="CX17" i="8"/>
  <c r="CU17" i="8"/>
  <c r="CT17" i="8"/>
  <c r="CS17" i="8"/>
  <c r="CR17" i="8"/>
  <c r="CP17" i="8"/>
  <c r="CO17" i="8"/>
  <c r="CN17" i="8"/>
  <c r="CM17" i="8"/>
  <c r="CL17" i="8"/>
  <c r="CI17" i="8"/>
  <c r="CH17" i="8"/>
  <c r="CG17" i="8"/>
  <c r="CF17" i="8"/>
  <c r="CB17" i="8"/>
  <c r="DT17" i="8" s="1"/>
  <c r="BV17" i="8"/>
  <c r="BP17" i="8"/>
  <c r="BJ17" i="8"/>
  <c r="BD17" i="8"/>
  <c r="CV17" i="8" s="1"/>
  <c r="AX17" i="8"/>
  <c r="AR17" i="8"/>
  <c r="CJ17" i="8" s="1"/>
  <c r="DA16" i="8"/>
  <c r="CZ16" i="8"/>
  <c r="CY16" i="8"/>
  <c r="CU16" i="8"/>
  <c r="CT16" i="8"/>
  <c r="CS16" i="8"/>
  <c r="CR16" i="8"/>
  <c r="CO16" i="8"/>
  <c r="CN16" i="8"/>
  <c r="CM16" i="8"/>
  <c r="CL16" i="8"/>
  <c r="CJ16" i="8"/>
  <c r="CI16" i="8"/>
  <c r="CH16" i="8"/>
  <c r="CG16" i="8"/>
  <c r="CF16" i="8"/>
  <c r="BV16" i="8"/>
  <c r="BP16" i="8"/>
  <c r="BJ16" i="8"/>
  <c r="DB16" i="8" s="1"/>
  <c r="BD16" i="8"/>
  <c r="CV16" i="8" s="1"/>
  <c r="AX16" i="8"/>
  <c r="CP16" i="8" s="1"/>
  <c r="AR16" i="8"/>
  <c r="CV15" i="8"/>
  <c r="CU15" i="8"/>
  <c r="CT15" i="8"/>
  <c r="CS15" i="8"/>
  <c r="CR15" i="8"/>
  <c r="CO15" i="8"/>
  <c r="CN15" i="8"/>
  <c r="CM15" i="8"/>
  <c r="CL15" i="8"/>
  <c r="CJ15" i="8"/>
  <c r="CI15" i="8"/>
  <c r="CH15" i="8"/>
  <c r="CG15" i="8"/>
  <c r="CF15" i="8"/>
  <c r="BD15" i="8"/>
  <c r="AX15" i="8"/>
  <c r="CP15" i="8" s="1"/>
  <c r="AR15" i="8"/>
  <c r="CU14" i="8"/>
  <c r="CT14" i="8"/>
  <c r="CS14" i="8"/>
  <c r="CR14" i="8"/>
  <c r="CP14" i="8"/>
  <c r="CO14" i="8"/>
  <c r="CN14" i="8"/>
  <c r="CM14" i="8"/>
  <c r="CL14" i="8"/>
  <c r="CI14" i="8"/>
  <c r="CH14" i="8"/>
  <c r="CG14" i="8"/>
  <c r="CF14" i="8"/>
  <c r="BD14" i="8"/>
  <c r="CV14" i="8" s="1"/>
  <c r="AX14" i="8"/>
  <c r="AR14" i="8"/>
  <c r="CJ14" i="8" s="1"/>
  <c r="DT13" i="8"/>
  <c r="DS13" i="8"/>
  <c r="DR13" i="8"/>
  <c r="DQ13" i="8"/>
  <c r="DP13" i="8"/>
  <c r="DM13" i="8"/>
  <c r="DL13" i="8"/>
  <c r="DK13" i="8"/>
  <c r="DJ13" i="8"/>
  <c r="DH13" i="8"/>
  <c r="DG13" i="8"/>
  <c r="DF13" i="8"/>
  <c r="DE13" i="8"/>
  <c r="DD13" i="8"/>
  <c r="DA13" i="8"/>
  <c r="CZ13" i="8"/>
  <c r="CY13" i="8"/>
  <c r="CX13" i="8"/>
  <c r="CV13" i="8"/>
  <c r="CU13" i="8"/>
  <c r="CT13" i="8"/>
  <c r="CS13" i="8"/>
  <c r="CR13" i="8"/>
  <c r="CO13" i="8"/>
  <c r="CN13" i="8"/>
  <c r="CM13" i="8"/>
  <c r="CL13" i="8"/>
  <c r="CJ13" i="8"/>
  <c r="CI13" i="8"/>
  <c r="CH13" i="8"/>
  <c r="CG13" i="8"/>
  <c r="CF13" i="8"/>
  <c r="CB13" i="8"/>
  <c r="BV13" i="8"/>
  <c r="DN13" i="8" s="1"/>
  <c r="BP13" i="8"/>
  <c r="BJ13" i="8"/>
  <c r="DB13" i="8" s="1"/>
  <c r="BD13" i="8"/>
  <c r="AX13" i="8"/>
  <c r="CP13" i="8" s="1"/>
  <c r="AR13" i="8"/>
  <c r="DS12" i="8"/>
  <c r="DR12" i="8"/>
  <c r="DQ12" i="8"/>
  <c r="DM12" i="8"/>
  <c r="DL12" i="8"/>
  <c r="DK12" i="8"/>
  <c r="DJ12" i="8"/>
  <c r="DG12" i="8"/>
  <c r="DF12" i="8"/>
  <c r="DE12" i="8"/>
  <c r="DD12" i="8"/>
  <c r="DA12" i="8"/>
  <c r="CZ12" i="8"/>
  <c r="CY12" i="8"/>
  <c r="CX12" i="8"/>
  <c r="CU12" i="8"/>
  <c r="CT12" i="8"/>
  <c r="CS12" i="8"/>
  <c r="CR12" i="8"/>
  <c r="CO12" i="8"/>
  <c r="CN12" i="8"/>
  <c r="CM12" i="8"/>
  <c r="CL12" i="8"/>
  <c r="CJ12" i="8"/>
  <c r="CI12" i="8"/>
  <c r="CH12" i="8"/>
  <c r="CG12" i="8"/>
  <c r="CF12" i="8"/>
  <c r="CB12" i="8"/>
  <c r="BX12" i="8"/>
  <c r="BV12" i="8"/>
  <c r="BP12" i="8"/>
  <c r="BJ12" i="8"/>
  <c r="BD12" i="8"/>
  <c r="AX12" i="8"/>
  <c r="AR12" i="8"/>
  <c r="DD11" i="8"/>
  <c r="CX11" i="8"/>
  <c r="CR11" i="8"/>
  <c r="CL11" i="8"/>
  <c r="CF11" i="8"/>
  <c r="AJ11" i="8"/>
  <c r="AJ12" i="8" s="1"/>
  <c r="AJ13" i="8" s="1"/>
  <c r="AJ14" i="8" s="1"/>
  <c r="AJ15" i="8" s="1"/>
  <c r="AJ16" i="8" s="1"/>
  <c r="AJ17" i="8" s="1"/>
  <c r="AJ18" i="8" s="1"/>
  <c r="AJ19" i="8" s="1"/>
  <c r="AJ20" i="8" s="1"/>
  <c r="AJ21" i="8" s="1"/>
  <c r="AJ22" i="8" s="1"/>
  <c r="AJ23" i="8" s="1"/>
  <c r="AJ24" i="8" s="1"/>
  <c r="AJ25" i="8" s="1"/>
  <c r="AJ26" i="8" s="1"/>
  <c r="AJ27" i="8" s="1"/>
  <c r="AJ28" i="8" s="1"/>
  <c r="AJ29" i="8" s="1"/>
  <c r="AJ30" i="8" s="1"/>
  <c r="AJ31" i="8" s="1"/>
  <c r="AJ32" i="8" s="1"/>
  <c r="AJ33" i="8" s="1"/>
  <c r="AJ34" i="8" s="1"/>
  <c r="AJ35" i="8" s="1"/>
  <c r="AJ36" i="8" s="1"/>
  <c r="AJ37" i="8" s="1"/>
  <c r="AJ38" i="8" s="1"/>
  <c r="AJ39" i="8" s="1"/>
  <c r="AJ40" i="8" s="1"/>
  <c r="AJ41" i="8" s="1"/>
  <c r="AJ42" i="8" s="1"/>
  <c r="AJ43" i="8" s="1"/>
  <c r="AJ44" i="8" s="1"/>
  <c r="AJ45" i="8" s="1"/>
  <c r="AJ46" i="8" s="1"/>
  <c r="AJ47" i="8" s="1"/>
  <c r="AJ48" i="8" s="1"/>
  <c r="AJ49" i="8" s="1"/>
  <c r="AJ50" i="8" s="1"/>
  <c r="AJ51" i="8" s="1"/>
  <c r="AJ52" i="8" s="1"/>
  <c r="AJ53" i="8" s="1"/>
  <c r="AJ54" i="8" s="1"/>
  <c r="AJ55" i="8" s="1"/>
  <c r="AJ56" i="8" s="1"/>
  <c r="AJ57" i="8" s="1"/>
  <c r="AJ58" i="8" s="1"/>
  <c r="AJ59" i="8" s="1"/>
  <c r="AJ60" i="8" s="1"/>
  <c r="AJ61" i="8" s="1"/>
  <c r="AJ62" i="8" s="1"/>
  <c r="AJ63" i="8" s="1"/>
  <c r="AJ64" i="8" s="1"/>
  <c r="AJ65" i="8" s="1"/>
  <c r="AJ66" i="8" s="1"/>
  <c r="AJ67" i="8" s="1"/>
  <c r="AJ68" i="8" s="1"/>
  <c r="AJ69" i="8" s="1"/>
  <c r="AJ70" i="8" s="1"/>
  <c r="AJ71" i="8" s="1"/>
  <c r="AJ72" i="8" s="1"/>
  <c r="AJ73" i="8" s="1"/>
  <c r="AJ74" i="8" s="1"/>
  <c r="AJ75" i="8" s="1"/>
  <c r="AJ76" i="8" s="1"/>
  <c r="AJ77" i="8" s="1"/>
  <c r="AJ78" i="8" s="1"/>
  <c r="AJ79" i="8" s="1"/>
  <c r="AJ80" i="8" s="1"/>
  <c r="AJ81" i="8" s="1"/>
  <c r="AJ82" i="8" s="1"/>
  <c r="AJ83" i="8" s="1"/>
  <c r="AJ84" i="8" s="1"/>
  <c r="AJ85" i="8" s="1"/>
  <c r="AJ86" i="8" s="1"/>
  <c r="AJ87" i="8" s="1"/>
  <c r="AJ88" i="8" s="1"/>
  <c r="AJ89" i="8" s="1"/>
  <c r="AJ90" i="8" s="1"/>
  <c r="AJ91" i="8" s="1"/>
  <c r="AJ92" i="8" s="1"/>
  <c r="AJ93" i="8" s="1"/>
  <c r="AJ94" i="8" s="1"/>
  <c r="AJ95" i="8" s="1"/>
  <c r="AJ96" i="8" s="1"/>
  <c r="AB11" i="8"/>
  <c r="Z11" i="8"/>
  <c r="DS10" i="8"/>
  <c r="DR10" i="8"/>
  <c r="DQ10" i="8"/>
  <c r="DP10" i="8"/>
  <c r="DN10" i="8"/>
  <c r="DM10" i="8"/>
  <c r="DL10" i="8"/>
  <c r="DK10" i="8"/>
  <c r="DJ10" i="8"/>
  <c r="DG10" i="8"/>
  <c r="DF10" i="8"/>
  <c r="DE10" i="8"/>
  <c r="DD10" i="8"/>
  <c r="DB10" i="8"/>
  <c r="DA10" i="8"/>
  <c r="CZ10" i="8"/>
  <c r="CY10" i="8"/>
  <c r="CX10" i="8"/>
  <c r="CV10" i="8"/>
  <c r="CU10" i="8"/>
  <c r="CT10" i="8"/>
  <c r="CS10" i="8"/>
  <c r="CR10" i="8"/>
  <c r="CP10" i="8"/>
  <c r="CO10" i="8"/>
  <c r="CN10" i="8"/>
  <c r="CM10" i="8"/>
  <c r="CL10" i="8"/>
  <c r="CI10" i="8"/>
  <c r="CH10" i="8"/>
  <c r="CG10" i="8"/>
  <c r="CF10" i="8"/>
  <c r="CB10" i="8"/>
  <c r="DT10" i="8" s="1"/>
  <c r="BV10" i="8"/>
  <c r="BP10" i="8"/>
  <c r="DH10" i="8" s="1"/>
  <c r="BJ10" i="8"/>
  <c r="BD10" i="8"/>
  <c r="AX10" i="8"/>
  <c r="AR10" i="8"/>
  <c r="CJ10" i="8" s="1"/>
  <c r="AJ10" i="8"/>
  <c r="DT9" i="8"/>
  <c r="DS9" i="8"/>
  <c r="DR9" i="8"/>
  <c r="DQ9" i="8"/>
  <c r="DP9" i="8"/>
  <c r="DM9" i="8"/>
  <c r="DL9" i="8"/>
  <c r="DK9" i="8"/>
  <c r="DJ9" i="8"/>
  <c r="DH9" i="8"/>
  <c r="DG9" i="8"/>
  <c r="DF9" i="8"/>
  <c r="DF28" i="8" s="1"/>
  <c r="DE9" i="8"/>
  <c r="DD9" i="8"/>
  <c r="DA9" i="8"/>
  <c r="CZ9" i="8"/>
  <c r="CY9" i="8"/>
  <c r="CX9" i="8"/>
  <c r="CV9" i="8"/>
  <c r="CU9" i="8"/>
  <c r="CT9" i="8"/>
  <c r="CS9" i="8"/>
  <c r="CR9" i="8"/>
  <c r="CR28" i="8" s="1"/>
  <c r="CO9" i="8"/>
  <c r="CN9" i="8"/>
  <c r="CM9" i="8"/>
  <c r="CL9" i="8"/>
  <c r="CB9" i="8"/>
  <c r="BV9" i="8"/>
  <c r="DN9" i="8" s="1"/>
  <c r="BP9" i="8"/>
  <c r="BJ9" i="8"/>
  <c r="BD9" i="8"/>
  <c r="AX9" i="8"/>
  <c r="CQ52" i="7"/>
  <c r="M52" i="7"/>
  <c r="K52" i="7"/>
  <c r="I52" i="7"/>
  <c r="G52" i="7"/>
  <c r="E52" i="7"/>
  <c r="CQ51" i="7"/>
  <c r="CK51" i="7"/>
  <c r="DT39" i="7"/>
  <c r="DS39" i="7"/>
  <c r="DR39" i="7"/>
  <c r="DQ39" i="7"/>
  <c r="DP39" i="7"/>
  <c r="DN39" i="7"/>
  <c r="DB39" i="7"/>
  <c r="CX39" i="7"/>
  <c r="CV39" i="7"/>
  <c r="CP39" i="7"/>
  <c r="CJ39" i="7"/>
  <c r="CC39" i="7"/>
  <c r="CD39" i="7" s="1"/>
  <c r="AC39" i="7"/>
  <c r="AO31" i="15" s="1"/>
  <c r="AB39" i="7"/>
  <c r="AN31" i="15" s="1"/>
  <c r="AA39" i="7"/>
  <c r="AM31" i="15" s="1"/>
  <c r="Z39" i="7"/>
  <c r="DT38" i="7"/>
  <c r="DS38" i="7"/>
  <c r="DR38" i="7"/>
  <c r="DQ38" i="7"/>
  <c r="DP38" i="7"/>
  <c r="DN38" i="7"/>
  <c r="DM38" i="7"/>
  <c r="DM39" i="7" s="1"/>
  <c r="DL38" i="7"/>
  <c r="DL39" i="7" s="1"/>
  <c r="DK38" i="7"/>
  <c r="DK39" i="7" s="1"/>
  <c r="DJ38" i="7"/>
  <c r="DJ39" i="7" s="1"/>
  <c r="DE38" i="7"/>
  <c r="DD38" i="7"/>
  <c r="CY38" i="7"/>
  <c r="CY39" i="7" s="1"/>
  <c r="CL38" i="7"/>
  <c r="CF38" i="7"/>
  <c r="CB38" i="7"/>
  <c r="BG38" i="7"/>
  <c r="BF38" i="7"/>
  <c r="DF38" i="7" s="1"/>
  <c r="BE38" i="7"/>
  <c r="BD38" i="7"/>
  <c r="BB38" i="7"/>
  <c r="DB38" i="7" s="1"/>
  <c r="BA38" i="7"/>
  <c r="DA38" i="7" s="1"/>
  <c r="AZ38" i="7"/>
  <c r="AY38" i="7"/>
  <c r="AX38" i="7"/>
  <c r="CX38" i="7" s="1"/>
  <c r="AV38" i="7"/>
  <c r="AU38" i="7"/>
  <c r="AT38" i="7"/>
  <c r="AS38" i="7"/>
  <c r="CS38" i="7" s="1"/>
  <c r="AR38" i="7"/>
  <c r="AP38" i="7"/>
  <c r="AO38" i="7"/>
  <c r="CO38" i="7" s="1"/>
  <c r="CP38" i="7" s="1"/>
  <c r="AN38" i="7"/>
  <c r="AM38" i="7"/>
  <c r="CM38" i="7" s="1"/>
  <c r="AL38" i="7"/>
  <c r="AJ38" i="7"/>
  <c r="AK30" i="15" s="1"/>
  <c r="AI38" i="7"/>
  <c r="AH38" i="7"/>
  <c r="AG38" i="7"/>
  <c r="AH30" i="15" s="1"/>
  <c r="AF38" i="7"/>
  <c r="AC38" i="7"/>
  <c r="AB38" i="7"/>
  <c r="AN30" i="15" s="1"/>
  <c r="AA38" i="7"/>
  <c r="AM30" i="15" s="1"/>
  <c r="Z38" i="7"/>
  <c r="CA38" i="7" s="1"/>
  <c r="BR36" i="7"/>
  <c r="BR32" i="7"/>
  <c r="DT31" i="7"/>
  <c r="DS31" i="7"/>
  <c r="DR31" i="7"/>
  <c r="DQ31" i="7"/>
  <c r="DP31" i="7"/>
  <c r="DM31" i="7"/>
  <c r="DL31" i="7"/>
  <c r="DK31" i="7"/>
  <c r="DJ31" i="7"/>
  <c r="DG31" i="7"/>
  <c r="DF31" i="7"/>
  <c r="DE31" i="7"/>
  <c r="DD31" i="7"/>
  <c r="DB31" i="7"/>
  <c r="DA31" i="7"/>
  <c r="CZ31" i="7"/>
  <c r="CY31" i="7"/>
  <c r="CX31" i="7"/>
  <c r="CV31" i="7"/>
  <c r="CU31" i="7"/>
  <c r="CT31" i="7"/>
  <c r="CS31" i="7"/>
  <c r="CR31" i="7"/>
  <c r="CP31" i="7"/>
  <c r="CO31" i="7"/>
  <c r="CN31" i="7"/>
  <c r="CM31" i="7"/>
  <c r="CL31" i="7"/>
  <c r="CI31" i="7"/>
  <c r="CJ31" i="7" s="1"/>
  <c r="CH31" i="7"/>
  <c r="CG31" i="7"/>
  <c r="CF31" i="7"/>
  <c r="CD31" i="7"/>
  <c r="CC31" i="7"/>
  <c r="CB31" i="7"/>
  <c r="CA31" i="7"/>
  <c r="BZ31" i="7"/>
  <c r="BN31" i="7"/>
  <c r="BH31" i="7"/>
  <c r="BB31" i="7"/>
  <c r="AV31" i="7"/>
  <c r="AP31" i="7"/>
  <c r="AJ31" i="7"/>
  <c r="AD31" i="7"/>
  <c r="BR30" i="7"/>
  <c r="BQ30" i="7"/>
  <c r="BQ32" i="7" s="1"/>
  <c r="BP30" i="7"/>
  <c r="BP32" i="7" s="1"/>
  <c r="BM30" i="7"/>
  <c r="BM32" i="7" s="1"/>
  <c r="DM28" i="7"/>
  <c r="BX28" i="7"/>
  <c r="BT28" i="7"/>
  <c r="BT30" i="7" s="1"/>
  <c r="BT32" i="7" s="1"/>
  <c r="BS28" i="7"/>
  <c r="BS30" i="7" s="1"/>
  <c r="BS32" i="7" s="1"/>
  <c r="BR28" i="7"/>
  <c r="BQ28" i="7"/>
  <c r="BP28" i="7"/>
  <c r="BM28" i="7"/>
  <c r="BL28" i="7"/>
  <c r="BL30" i="7" s="1"/>
  <c r="BL32" i="7" s="1"/>
  <c r="BK28" i="7"/>
  <c r="BK30" i="7" s="1"/>
  <c r="BK32" i="7" s="1"/>
  <c r="BJ28" i="7"/>
  <c r="BJ30" i="7" s="1"/>
  <c r="BJ32" i="7" s="1"/>
  <c r="CU27" i="7"/>
  <c r="CV27" i="7" s="1"/>
  <c r="CM27" i="7"/>
  <c r="CL27" i="7"/>
  <c r="BG27" i="7"/>
  <c r="BF27" i="7"/>
  <c r="BE27" i="7"/>
  <c r="BD27" i="7"/>
  <c r="BA27" i="7"/>
  <c r="AZ27" i="7"/>
  <c r="AY27" i="7"/>
  <c r="AX27" i="7"/>
  <c r="AU27" i="7"/>
  <c r="AT27" i="7"/>
  <c r="AS27" i="7"/>
  <c r="CS27" i="7" s="1"/>
  <c r="AR27" i="7"/>
  <c r="AO27" i="7"/>
  <c r="AN27" i="7"/>
  <c r="AM27" i="7"/>
  <c r="CN27" i="7" s="1"/>
  <c r="AL27" i="7"/>
  <c r="CO27" i="7" s="1"/>
  <c r="CP27" i="7" s="1"/>
  <c r="AI27" i="7"/>
  <c r="AJ21" i="15" s="1"/>
  <c r="AH27" i="7"/>
  <c r="AI21" i="15" s="1"/>
  <c r="AG27" i="7"/>
  <c r="AH21" i="15" s="1"/>
  <c r="AF27" i="7"/>
  <c r="AC27" i="7"/>
  <c r="AB27" i="7"/>
  <c r="AA27" i="7"/>
  <c r="Z27" i="7"/>
  <c r="DT26" i="7"/>
  <c r="DT28" i="7" s="1"/>
  <c r="DS26" i="7"/>
  <c r="DR26" i="7"/>
  <c r="DQ26" i="7"/>
  <c r="DP26" i="7"/>
  <c r="DM26" i="7"/>
  <c r="DL26" i="7"/>
  <c r="DK26" i="7"/>
  <c r="DK28" i="7" s="1"/>
  <c r="DJ26" i="7"/>
  <c r="CX26" i="7"/>
  <c r="CR26" i="7"/>
  <c r="CL26" i="7"/>
  <c r="BZ26" i="7"/>
  <c r="BN26" i="7"/>
  <c r="BG26" i="7"/>
  <c r="BF26" i="7"/>
  <c r="DG26" i="7" s="1"/>
  <c r="BE26" i="7"/>
  <c r="BD26" i="7"/>
  <c r="BA26" i="7"/>
  <c r="AZ26" i="7"/>
  <c r="AY26" i="7"/>
  <c r="AX26" i="7"/>
  <c r="AV26" i="7"/>
  <c r="AU26" i="7"/>
  <c r="AT26" i="7"/>
  <c r="CU26" i="7" s="1"/>
  <c r="CV26" i="7" s="1"/>
  <c r="AS26" i="7"/>
  <c r="AR26" i="7"/>
  <c r="CT26" i="7" s="1"/>
  <c r="AO26" i="7"/>
  <c r="AP26" i="7" s="1"/>
  <c r="AN26" i="7"/>
  <c r="AM26" i="7"/>
  <c r="CN26" i="7" s="1"/>
  <c r="AL26" i="7"/>
  <c r="CM26" i="7" s="1"/>
  <c r="AI26" i="7"/>
  <c r="AJ19" i="15" s="1"/>
  <c r="AH26" i="7"/>
  <c r="AI19" i="15" s="1"/>
  <c r="AG26" i="7"/>
  <c r="AH19" i="15" s="1"/>
  <c r="AF26" i="7"/>
  <c r="AC26" i="7"/>
  <c r="AB26" i="7"/>
  <c r="AA26" i="7"/>
  <c r="Z26" i="7"/>
  <c r="DT25" i="7"/>
  <c r="DS25" i="7"/>
  <c r="DR25" i="7"/>
  <c r="DQ25" i="7"/>
  <c r="DP25" i="7"/>
  <c r="DN25" i="7"/>
  <c r="DM25" i="7"/>
  <c r="DL25" i="7"/>
  <c r="DK25" i="7"/>
  <c r="DJ25" i="7"/>
  <c r="CO25" i="7"/>
  <c r="CP25" i="7" s="1"/>
  <c r="CN25" i="7"/>
  <c r="CL25" i="7"/>
  <c r="CF25" i="7"/>
  <c r="BN25" i="7"/>
  <c r="BG25" i="7"/>
  <c r="BF25" i="7"/>
  <c r="BF28" i="7" s="1"/>
  <c r="BE25" i="7"/>
  <c r="BD25" i="7"/>
  <c r="DG25" i="7" s="1"/>
  <c r="BA25" i="7"/>
  <c r="AZ25" i="7"/>
  <c r="AY25" i="7"/>
  <c r="AX25" i="7"/>
  <c r="AU25" i="7"/>
  <c r="AT25" i="7"/>
  <c r="AS25" i="7"/>
  <c r="AR25" i="7"/>
  <c r="AO25" i="7"/>
  <c r="AN25" i="7"/>
  <c r="AM25" i="7"/>
  <c r="AP25" i="7" s="1"/>
  <c r="AL25" i="7"/>
  <c r="AJ25" i="7"/>
  <c r="AI25" i="7"/>
  <c r="AJ18" i="15" s="1"/>
  <c r="AH25" i="7"/>
  <c r="AI18" i="15" s="1"/>
  <c r="AG25" i="7"/>
  <c r="AH18" i="15" s="1"/>
  <c r="AF25" i="7"/>
  <c r="AG18" i="15" s="1"/>
  <c r="AC25" i="7"/>
  <c r="AC28" i="7" s="1"/>
  <c r="AB25" i="7"/>
  <c r="AA25" i="7"/>
  <c r="Z25" i="7"/>
  <c r="BZ25" i="7" s="1"/>
  <c r="DT24" i="7"/>
  <c r="DS24" i="7"/>
  <c r="DR24" i="7"/>
  <c r="DQ24" i="7"/>
  <c r="DP24" i="7"/>
  <c r="DN24" i="7"/>
  <c r="DM24" i="7"/>
  <c r="DL24" i="7"/>
  <c r="DK24" i="7"/>
  <c r="DJ24" i="7"/>
  <c r="CF24" i="7"/>
  <c r="CC24" i="7"/>
  <c r="CD24" i="7" s="1"/>
  <c r="BZ24" i="7"/>
  <c r="BN24" i="7"/>
  <c r="BG24" i="7"/>
  <c r="BF24" i="7"/>
  <c r="BE24" i="7"/>
  <c r="BD24" i="7"/>
  <c r="BA24" i="7"/>
  <c r="AZ24" i="7"/>
  <c r="AY24" i="7"/>
  <c r="AX24" i="7"/>
  <c r="AU24" i="7"/>
  <c r="AT24" i="7"/>
  <c r="AS24" i="7"/>
  <c r="AR24" i="7"/>
  <c r="AO24" i="7"/>
  <c r="AN24" i="7"/>
  <c r="AM24" i="7"/>
  <c r="AL24" i="7"/>
  <c r="CM24" i="7" s="1"/>
  <c r="AI24" i="7"/>
  <c r="AJ20" i="15" s="1"/>
  <c r="AH24" i="7"/>
  <c r="AI20" i="15" s="1"/>
  <c r="AG24" i="7"/>
  <c r="AH20" i="15" s="1"/>
  <c r="AF24" i="7"/>
  <c r="AG20" i="15" s="1"/>
  <c r="AC24" i="7"/>
  <c r="AB24" i="7"/>
  <c r="AA24" i="7"/>
  <c r="CB24" i="7" s="1"/>
  <c r="Z24" i="7"/>
  <c r="DT23" i="7"/>
  <c r="DS23" i="7"/>
  <c r="DR23" i="7"/>
  <c r="DQ23" i="7"/>
  <c r="DP23" i="7"/>
  <c r="DN23" i="7"/>
  <c r="DM23" i="7"/>
  <c r="DL23" i="7"/>
  <c r="DK23" i="7"/>
  <c r="DJ23" i="7"/>
  <c r="DD23" i="7"/>
  <c r="CA23" i="7"/>
  <c r="BZ23" i="7"/>
  <c r="BN23" i="7"/>
  <c r="BH23" i="7"/>
  <c r="BG23" i="7"/>
  <c r="BF23" i="7"/>
  <c r="BE23" i="7"/>
  <c r="BD23" i="7"/>
  <c r="BB23" i="7"/>
  <c r="BA23" i="7"/>
  <c r="AZ23" i="7"/>
  <c r="AY23" i="7"/>
  <c r="AX23" i="7"/>
  <c r="CX23" i="7" s="1"/>
  <c r="AU23" i="7"/>
  <c r="AT23" i="7"/>
  <c r="AS23" i="7"/>
  <c r="AR23" i="7"/>
  <c r="CT23" i="7" s="1"/>
  <c r="AO23" i="7"/>
  <c r="AN23" i="7"/>
  <c r="AM23" i="7"/>
  <c r="AL23" i="7"/>
  <c r="AI23" i="7"/>
  <c r="AH23" i="7"/>
  <c r="AG23" i="7"/>
  <c r="AF23" i="7"/>
  <c r="CI23" i="7" s="1"/>
  <c r="CJ23" i="7" s="1"/>
  <c r="AC23" i="7"/>
  <c r="AB23" i="7"/>
  <c r="AA23" i="7"/>
  <c r="DT22" i="7"/>
  <c r="DS22" i="7"/>
  <c r="DS28" i="7" s="1"/>
  <c r="DR22" i="7"/>
  <c r="DR28" i="7" s="1"/>
  <c r="DQ22" i="7"/>
  <c r="DQ28" i="7" s="1"/>
  <c r="DP22" i="7"/>
  <c r="DM22" i="7"/>
  <c r="DL22" i="7"/>
  <c r="DL28" i="7" s="1"/>
  <c r="DK22" i="7"/>
  <c r="DJ22" i="7"/>
  <c r="DJ28" i="7" s="1"/>
  <c r="DF22" i="7"/>
  <c r="BN22" i="7"/>
  <c r="DN22" i="7" s="1"/>
  <c r="BH22" i="7"/>
  <c r="BG22" i="7"/>
  <c r="BG28" i="7" s="1"/>
  <c r="BF22" i="7"/>
  <c r="BE22" i="7"/>
  <c r="BE28" i="7" s="1"/>
  <c r="BD22" i="7"/>
  <c r="DE22" i="7" s="1"/>
  <c r="BA22" i="7"/>
  <c r="AZ22" i="7"/>
  <c r="AY22" i="7"/>
  <c r="AX22" i="7"/>
  <c r="AU22" i="7"/>
  <c r="AU28" i="7" s="1"/>
  <c r="AT22" i="7"/>
  <c r="AS22" i="7"/>
  <c r="AR22" i="7"/>
  <c r="AO22" i="7"/>
  <c r="AN22" i="7"/>
  <c r="AN28" i="7" s="1"/>
  <c r="AM22" i="7"/>
  <c r="AL22" i="7"/>
  <c r="AI22" i="7"/>
  <c r="AJ16" i="15" s="1"/>
  <c r="AH22" i="7"/>
  <c r="AI16" i="15" s="1"/>
  <c r="AG22" i="7"/>
  <c r="AH16" i="15" s="1"/>
  <c r="AF22" i="7"/>
  <c r="CF22" i="7" s="1"/>
  <c r="AC22" i="7"/>
  <c r="AB22" i="7"/>
  <c r="AB28" i="7" s="1"/>
  <c r="AA22" i="7"/>
  <c r="Z22" i="7"/>
  <c r="BZ22" i="7" s="1"/>
  <c r="DP19" i="7"/>
  <c r="DJ19" i="7"/>
  <c r="DP18" i="7"/>
  <c r="DJ18" i="7"/>
  <c r="BT15" i="7"/>
  <c r="BM15" i="7"/>
  <c r="BK15" i="7"/>
  <c r="DT13" i="7"/>
  <c r="DS13" i="7"/>
  <c r="DR13" i="7"/>
  <c r="DQ13" i="7"/>
  <c r="DP13" i="7"/>
  <c r="DN13" i="7"/>
  <c r="DM13" i="7"/>
  <c r="DL13" i="7"/>
  <c r="DK13" i="7"/>
  <c r="DJ13" i="7"/>
  <c r="DD13" i="7"/>
  <c r="DA13" i="7"/>
  <c r="CR13" i="7"/>
  <c r="CO13" i="7"/>
  <c r="CP13" i="7" s="1"/>
  <c r="CN13" i="7"/>
  <c r="BN13" i="7"/>
  <c r="BG13" i="7"/>
  <c r="BF13" i="7"/>
  <c r="BE13" i="7"/>
  <c r="BD13" i="7"/>
  <c r="BB13" i="7"/>
  <c r="DB13" i="7" s="1"/>
  <c r="BA13" i="7"/>
  <c r="AZ13" i="7"/>
  <c r="AY13" i="7"/>
  <c r="AX13" i="7"/>
  <c r="CZ13" i="7" s="1"/>
  <c r="AU13" i="7"/>
  <c r="AT13" i="7"/>
  <c r="AS13" i="7"/>
  <c r="AR13" i="7"/>
  <c r="AO13" i="7"/>
  <c r="AN13" i="7"/>
  <c r="AM13" i="7"/>
  <c r="AL13" i="7"/>
  <c r="CM13" i="7" s="1"/>
  <c r="AJ13" i="7"/>
  <c r="AI13" i="7"/>
  <c r="AH13" i="7"/>
  <c r="AG13" i="7"/>
  <c r="AF13" i="7"/>
  <c r="CG13" i="7" s="1"/>
  <c r="AC13" i="7"/>
  <c r="AB13" i="7"/>
  <c r="AA13" i="7"/>
  <c r="Z13" i="7"/>
  <c r="BT11" i="7"/>
  <c r="BS11" i="7"/>
  <c r="BS15" i="7" s="1"/>
  <c r="BR11" i="7"/>
  <c r="BR15" i="7" s="1"/>
  <c r="BQ11" i="7"/>
  <c r="BQ15" i="7" s="1"/>
  <c r="BP11" i="7"/>
  <c r="BP15" i="7" s="1"/>
  <c r="BN11" i="7"/>
  <c r="BN15" i="7" s="1"/>
  <c r="BM11" i="7"/>
  <c r="BL11" i="7"/>
  <c r="BL15" i="7" s="1"/>
  <c r="BK11" i="7"/>
  <c r="BJ11" i="7"/>
  <c r="BJ15" i="7" s="1"/>
  <c r="DT10" i="7"/>
  <c r="DS10" i="7"/>
  <c r="DR10" i="7"/>
  <c r="DQ10" i="7"/>
  <c r="DQ11" i="7" s="1"/>
  <c r="DP10" i="7"/>
  <c r="DM10" i="7"/>
  <c r="DL10" i="7"/>
  <c r="DK10" i="7"/>
  <c r="DJ10" i="7"/>
  <c r="CY10" i="7"/>
  <c r="CX10" i="7"/>
  <c r="CN10" i="7"/>
  <c r="CM10" i="7"/>
  <c r="CH10" i="7"/>
  <c r="CF10" i="7"/>
  <c r="CB10" i="7"/>
  <c r="BN10" i="7"/>
  <c r="DN10" i="7" s="1"/>
  <c r="BG10" i="7"/>
  <c r="BF10" i="7"/>
  <c r="BE10" i="7"/>
  <c r="BD10" i="7"/>
  <c r="BB10" i="7"/>
  <c r="DB10" i="7" s="1"/>
  <c r="BA10" i="7"/>
  <c r="AZ10" i="7"/>
  <c r="AY10" i="7"/>
  <c r="AX10" i="7"/>
  <c r="CZ10" i="7" s="1"/>
  <c r="AU10" i="7"/>
  <c r="AT10" i="7"/>
  <c r="AS10" i="7"/>
  <c r="AR10" i="7"/>
  <c r="CR10" i="7" s="1"/>
  <c r="AO10" i="7"/>
  <c r="AN10" i="7"/>
  <c r="AM10" i="7"/>
  <c r="AL10" i="7"/>
  <c r="CO10" i="7" s="1"/>
  <c r="CP10" i="7" s="1"/>
  <c r="AI10" i="7"/>
  <c r="CI10" i="7" s="1"/>
  <c r="CJ10" i="7" s="1"/>
  <c r="AH10" i="7"/>
  <c r="AG10" i="7"/>
  <c r="AF10" i="7"/>
  <c r="CG10" i="7" s="1"/>
  <c r="AC10" i="7"/>
  <c r="AB10" i="7"/>
  <c r="AA10" i="7"/>
  <c r="CC10" i="7" s="1"/>
  <c r="CD10" i="7" s="1"/>
  <c r="Z10" i="7"/>
  <c r="DT9" i="7"/>
  <c r="DS9" i="7"/>
  <c r="DS30" i="7" s="1"/>
  <c r="DS32" i="7" s="1"/>
  <c r="DR9" i="7"/>
  <c r="DR30" i="7" s="1"/>
  <c r="DR32" i="7" s="1"/>
  <c r="DQ9" i="7"/>
  <c r="DQ30" i="7" s="1"/>
  <c r="DQ32" i="7" s="1"/>
  <c r="DQ36" i="7" s="1"/>
  <c r="DP9" i="7"/>
  <c r="DN9" i="7"/>
  <c r="DN11" i="7" s="1"/>
  <c r="DM9" i="7"/>
  <c r="DM11" i="7" s="1"/>
  <c r="DL9" i="7"/>
  <c r="DK9" i="7"/>
  <c r="DJ9" i="7"/>
  <c r="DJ30" i="7" s="1"/>
  <c r="DJ32" i="7" s="1"/>
  <c r="BN9" i="7"/>
  <c r="O8" i="7"/>
  <c r="O9" i="7" s="1"/>
  <c r="O10" i="7" s="1"/>
  <c r="O11" i="7" s="1"/>
  <c r="O12" i="7" s="1"/>
  <c r="O13" i="7" s="1"/>
  <c r="O14" i="7" s="1"/>
  <c r="O15" i="7" s="1"/>
  <c r="O16" i="7" s="1"/>
  <c r="O17" i="7" s="1"/>
  <c r="O18" i="7" s="1"/>
  <c r="O19" i="7" s="1"/>
  <c r="O20" i="7" s="1"/>
  <c r="O21" i="7" s="1"/>
  <c r="O22" i="7" s="1"/>
  <c r="O23" i="7" s="1"/>
  <c r="O24" i="7" s="1"/>
  <c r="O25" i="7" s="1"/>
  <c r="O26" i="7" s="1"/>
  <c r="O27" i="7" s="1"/>
  <c r="O28" i="7" s="1"/>
  <c r="O29" i="7" s="1"/>
  <c r="O30" i="7" s="1"/>
  <c r="O31" i="7" s="1"/>
  <c r="O32" i="7" s="1"/>
  <c r="O33" i="7" s="1"/>
  <c r="O34" i="7" s="1"/>
  <c r="O35" i="7" s="1"/>
  <c r="O36" i="7" s="1"/>
  <c r="O37" i="7" s="1"/>
  <c r="O38" i="7" s="1"/>
  <c r="O39" i="7" s="1"/>
  <c r="O40" i="7" s="1"/>
  <c r="O41" i="7" s="1"/>
  <c r="O42" i="7" s="1"/>
  <c r="O43" i="7" s="1"/>
  <c r="O44" i="7" s="1"/>
  <c r="O45" i="7" s="1"/>
  <c r="O46" i="7" s="1"/>
  <c r="O47" i="7" s="1"/>
  <c r="O48" i="7" s="1"/>
  <c r="BP24" i="6"/>
  <c r="CO22" i="6"/>
  <c r="CN22" i="6"/>
  <c r="CL22" i="6"/>
  <c r="CF22" i="6"/>
  <c r="CB22" i="6"/>
  <c r="BV22" i="6"/>
  <c r="BU22" i="6"/>
  <c r="BT22" i="6"/>
  <c r="BS22" i="6"/>
  <c r="BR22" i="6"/>
  <c r="BP22" i="6"/>
  <c r="BO22" i="6"/>
  <c r="BN22" i="6"/>
  <c r="BM22" i="6"/>
  <c r="BL22" i="6"/>
  <c r="BI22" i="6"/>
  <c r="BH22" i="6"/>
  <c r="BG22" i="6"/>
  <c r="BF22" i="6"/>
  <c r="BC22" i="6"/>
  <c r="BB22" i="6"/>
  <c r="BA22" i="6"/>
  <c r="AZ22" i="6"/>
  <c r="AW22" i="6"/>
  <c r="AV22" i="6"/>
  <c r="AU22" i="6"/>
  <c r="AT22" i="6"/>
  <c r="AQ22" i="6"/>
  <c r="AP22" i="6"/>
  <c r="AO22" i="6"/>
  <c r="AN22" i="6"/>
  <c r="AK22" i="6"/>
  <c r="AJ22" i="6"/>
  <c r="AI22" i="6"/>
  <c r="AH22" i="6"/>
  <c r="CO21" i="6"/>
  <c r="CP21" i="6" s="1"/>
  <c r="CN21" i="6"/>
  <c r="CM21" i="6"/>
  <c r="CL21" i="6"/>
  <c r="CJ21" i="6"/>
  <c r="CI21" i="6"/>
  <c r="CH21" i="6"/>
  <c r="CH22" i="6" s="1"/>
  <c r="CG21" i="6"/>
  <c r="CF21" i="6"/>
  <c r="CD21" i="6"/>
  <c r="CC21" i="6"/>
  <c r="CB21" i="6"/>
  <c r="CA21" i="6"/>
  <c r="BZ21" i="6"/>
  <c r="BJ21" i="6"/>
  <c r="BD21" i="6"/>
  <c r="AX21" i="6"/>
  <c r="AR21" i="6"/>
  <c r="AL21" i="6"/>
  <c r="CP20" i="6"/>
  <c r="CO20" i="6"/>
  <c r="CN20" i="6"/>
  <c r="CM20" i="6"/>
  <c r="CL20" i="6"/>
  <c r="CI20" i="6"/>
  <c r="CJ20" i="6" s="1"/>
  <c r="CH20" i="6"/>
  <c r="CG20" i="6"/>
  <c r="CF20" i="6"/>
  <c r="CC20" i="6"/>
  <c r="CD20" i="6" s="1"/>
  <c r="CB20" i="6"/>
  <c r="CA20" i="6"/>
  <c r="BZ20" i="6"/>
  <c r="BV20" i="6"/>
  <c r="BJ20" i="6"/>
  <c r="BD20" i="6"/>
  <c r="AX20" i="6"/>
  <c r="AR20" i="6"/>
  <c r="AL20" i="6"/>
  <c r="CP19" i="6"/>
  <c r="CO19" i="6"/>
  <c r="CN19" i="6"/>
  <c r="CM19" i="6"/>
  <c r="CL19" i="6"/>
  <c r="CI19" i="6"/>
  <c r="CJ19" i="6" s="1"/>
  <c r="CH19" i="6"/>
  <c r="CG19" i="6"/>
  <c r="CF19" i="6"/>
  <c r="CC19" i="6"/>
  <c r="CD19" i="6" s="1"/>
  <c r="CB19" i="6"/>
  <c r="CA19" i="6"/>
  <c r="BZ19" i="6"/>
  <c r="BV19" i="6"/>
  <c r="BJ19" i="6"/>
  <c r="BD19" i="6"/>
  <c r="AX19" i="6"/>
  <c r="AR19" i="6"/>
  <c r="AL19" i="6"/>
  <c r="CP18" i="6"/>
  <c r="CO18" i="6"/>
  <c r="CN18" i="6"/>
  <c r="CM18" i="6"/>
  <c r="CL18" i="6"/>
  <c r="CI18" i="6"/>
  <c r="CJ18" i="6" s="1"/>
  <c r="CH18" i="6"/>
  <c r="CG18" i="6"/>
  <c r="CF18" i="6"/>
  <c r="CC18" i="6"/>
  <c r="CD18" i="6" s="1"/>
  <c r="CB18" i="6"/>
  <c r="CA18" i="6"/>
  <c r="BZ18" i="6"/>
  <c r="BV18" i="6"/>
  <c r="BJ18" i="6"/>
  <c r="BD18" i="6"/>
  <c r="AX18" i="6"/>
  <c r="AR18" i="6"/>
  <c r="AL18" i="6"/>
  <c r="CP17" i="6"/>
  <c r="CO17" i="6"/>
  <c r="CN17" i="6"/>
  <c r="CM17" i="6"/>
  <c r="CL17" i="6"/>
  <c r="CI17" i="6"/>
  <c r="CJ17" i="6" s="1"/>
  <c r="CH17" i="6"/>
  <c r="CG17" i="6"/>
  <c r="CF17" i="6"/>
  <c r="CC17" i="6"/>
  <c r="CD17" i="6" s="1"/>
  <c r="CB17" i="6"/>
  <c r="CA17" i="6"/>
  <c r="BZ17" i="6"/>
  <c r="BV17" i="6"/>
  <c r="BJ17" i="6"/>
  <c r="BD17" i="6"/>
  <c r="AX17" i="6"/>
  <c r="AR17" i="6"/>
  <c r="AL17" i="6"/>
  <c r="CP16" i="6"/>
  <c r="CO16" i="6"/>
  <c r="CN16" i="6"/>
  <c r="CM16" i="6"/>
  <c r="CL16" i="6"/>
  <c r="CI16" i="6"/>
  <c r="CJ16" i="6" s="1"/>
  <c r="CH16" i="6"/>
  <c r="CG16" i="6"/>
  <c r="CF16" i="6"/>
  <c r="CC16" i="6"/>
  <c r="CD16" i="6" s="1"/>
  <c r="CB16" i="6"/>
  <c r="CA16" i="6"/>
  <c r="BZ16" i="6"/>
  <c r="BV16" i="6"/>
  <c r="BJ16" i="6"/>
  <c r="BD16" i="6"/>
  <c r="AX16" i="6"/>
  <c r="AR16" i="6"/>
  <c r="AL16" i="6"/>
  <c r="CP15" i="6"/>
  <c r="CO15" i="6"/>
  <c r="CN15" i="6"/>
  <c r="CM15" i="6"/>
  <c r="CL15" i="6"/>
  <c r="CI15" i="6"/>
  <c r="CJ15" i="6" s="1"/>
  <c r="CH15" i="6"/>
  <c r="CG15" i="6"/>
  <c r="CF15" i="6"/>
  <c r="CC15" i="6"/>
  <c r="CD15" i="6" s="1"/>
  <c r="CB15" i="6"/>
  <c r="CA15" i="6"/>
  <c r="BZ15" i="6"/>
  <c r="BV15" i="6"/>
  <c r="BJ15" i="6"/>
  <c r="BD15" i="6"/>
  <c r="AX15" i="6"/>
  <c r="AR15" i="6"/>
  <c r="AL15" i="6"/>
  <c r="CP14" i="6"/>
  <c r="CO14" i="6"/>
  <c r="CN14" i="6"/>
  <c r="CM14" i="6"/>
  <c r="CL14" i="6"/>
  <c r="CI14" i="6"/>
  <c r="CJ14" i="6" s="1"/>
  <c r="CH14" i="6"/>
  <c r="CG14" i="6"/>
  <c r="CF14" i="6"/>
  <c r="CC14" i="6"/>
  <c r="CD14" i="6" s="1"/>
  <c r="CB14" i="6"/>
  <c r="CA14" i="6"/>
  <c r="BZ14" i="6"/>
  <c r="BV14" i="6"/>
  <c r="BJ14" i="6"/>
  <c r="BD14" i="6"/>
  <c r="AX14" i="6"/>
  <c r="AR14" i="6"/>
  <c r="AL14" i="6"/>
  <c r="CP13" i="6"/>
  <c r="CO13" i="6"/>
  <c r="CN13" i="6"/>
  <c r="CM13" i="6"/>
  <c r="CL13" i="6"/>
  <c r="CI13" i="6"/>
  <c r="CJ13" i="6" s="1"/>
  <c r="CH13" i="6"/>
  <c r="CG13" i="6"/>
  <c r="CF13" i="6"/>
  <c r="CC13" i="6"/>
  <c r="CD13" i="6" s="1"/>
  <c r="CB13" i="6"/>
  <c r="CA13" i="6"/>
  <c r="BZ13" i="6"/>
  <c r="BV13" i="6"/>
  <c r="BJ13" i="6"/>
  <c r="BD13" i="6"/>
  <c r="AX13" i="6"/>
  <c r="AR13" i="6"/>
  <c r="AL13" i="6"/>
  <c r="CP12" i="6"/>
  <c r="CO12" i="6"/>
  <c r="CN12" i="6"/>
  <c r="CM12" i="6"/>
  <c r="CM22" i="6" s="1"/>
  <c r="CL12" i="6"/>
  <c r="CI12" i="6"/>
  <c r="CH12" i="6"/>
  <c r="CG12" i="6"/>
  <c r="CF12" i="6"/>
  <c r="CC12" i="6"/>
  <c r="CD12" i="6" s="1"/>
  <c r="CD22" i="6" s="1"/>
  <c r="CB12" i="6"/>
  <c r="CA12" i="6"/>
  <c r="CA22" i="6" s="1"/>
  <c r="BZ12" i="6"/>
  <c r="BZ22" i="6" s="1"/>
  <c r="BV12" i="6"/>
  <c r="BJ12" i="6"/>
  <c r="BD12" i="6"/>
  <c r="BD22" i="6" s="1"/>
  <c r="AX12" i="6"/>
  <c r="AX22" i="6" s="1"/>
  <c r="AR12" i="6"/>
  <c r="AR22" i="6" s="1"/>
  <c r="AL12" i="6"/>
  <c r="AL22" i="6" s="1"/>
  <c r="AA9" i="6"/>
  <c r="AA10" i="6" s="1"/>
  <c r="AA11" i="6" s="1"/>
  <c r="AA12" i="6" s="1"/>
  <c r="AA13" i="6" s="1"/>
  <c r="AA14" i="6" s="1"/>
  <c r="AA15" i="6" s="1"/>
  <c r="AA16" i="6" s="1"/>
  <c r="AA17" i="6" s="1"/>
  <c r="AA18" i="6" s="1"/>
  <c r="AA19" i="6" s="1"/>
  <c r="AA20" i="6" s="1"/>
  <c r="AA21" i="6" s="1"/>
  <c r="AA22" i="6" s="1"/>
  <c r="AA23" i="6" s="1"/>
  <c r="AA24" i="6" s="1"/>
  <c r="AA25" i="6" s="1"/>
  <c r="AA26" i="6" s="1"/>
  <c r="AA27" i="6" s="1"/>
  <c r="AA28" i="6" s="1"/>
  <c r="AA29" i="6" s="1"/>
  <c r="AA30" i="6" s="1"/>
  <c r="BS8" i="6"/>
  <c r="BS24" i="6" s="1"/>
  <c r="BS25" i="6" s="1"/>
  <c r="AP3" i="5"/>
  <c r="AK3" i="5"/>
  <c r="AF3" i="5"/>
  <c r="AA3" i="5"/>
  <c r="V3" i="5"/>
  <c r="Q3" i="5"/>
  <c r="L3" i="5"/>
  <c r="G3" i="5"/>
  <c r="M79" i="4"/>
  <c r="K79" i="4"/>
  <c r="G79" i="4"/>
  <c r="E79" i="4"/>
  <c r="BI65" i="4"/>
  <c r="BI66" i="4" s="1"/>
  <c r="BH65" i="4"/>
  <c r="BH66" i="4" s="1"/>
  <c r="BG65" i="4"/>
  <c r="BG66" i="4" s="1"/>
  <c r="BF65" i="4"/>
  <c r="BF66" i="4" s="1"/>
  <c r="BC65" i="4"/>
  <c r="BC66" i="4" s="1"/>
  <c r="BB65" i="4"/>
  <c r="BB66" i="4" s="1"/>
  <c r="BA65" i="4"/>
  <c r="BA66" i="4" s="1"/>
  <c r="AZ65" i="4"/>
  <c r="AZ66" i="4" s="1"/>
  <c r="DI64" i="4"/>
  <c r="DJ64" i="4" s="1"/>
  <c r="DH64" i="4"/>
  <c r="DG64" i="4"/>
  <c r="DF64" i="4"/>
  <c r="DC64" i="4"/>
  <c r="DD64" i="4" s="1"/>
  <c r="DB64" i="4"/>
  <c r="DA64" i="4"/>
  <c r="CZ64" i="4"/>
  <c r="BJ64" i="4"/>
  <c r="BD64" i="4"/>
  <c r="DI63" i="4"/>
  <c r="DJ63" i="4" s="1"/>
  <c r="DH63" i="4"/>
  <c r="DG63" i="4"/>
  <c r="DF63" i="4"/>
  <c r="DC63" i="4"/>
  <c r="DD63" i="4" s="1"/>
  <c r="DB63" i="4"/>
  <c r="DB65" i="4" s="1"/>
  <c r="DA63" i="4"/>
  <c r="CZ63" i="4"/>
  <c r="CZ65" i="4" s="1"/>
  <c r="BJ63" i="4"/>
  <c r="BD63" i="4"/>
  <c r="DI62" i="4"/>
  <c r="DJ62" i="4" s="1"/>
  <c r="DH62" i="4"/>
  <c r="DG62" i="4"/>
  <c r="DF62" i="4"/>
  <c r="DC62" i="4"/>
  <c r="DB62" i="4"/>
  <c r="DA62" i="4"/>
  <c r="CZ62" i="4"/>
  <c r="BJ62" i="4"/>
  <c r="BD62" i="4"/>
  <c r="DI61" i="4"/>
  <c r="DI65" i="4" s="1"/>
  <c r="DH61" i="4"/>
  <c r="DH65" i="4" s="1"/>
  <c r="DG61" i="4"/>
  <c r="DF61" i="4"/>
  <c r="DC61" i="4"/>
  <c r="DD61" i="4" s="1"/>
  <c r="DB61" i="4"/>
  <c r="DA61" i="4"/>
  <c r="CZ61" i="4"/>
  <c r="BJ61" i="4"/>
  <c r="BJ65" i="4" s="1"/>
  <c r="BD61" i="4"/>
  <c r="CV59" i="4"/>
  <c r="CQ59" i="4"/>
  <c r="CG59" i="4"/>
  <c r="CE59" i="4"/>
  <c r="BU59" i="4"/>
  <c r="BT59" i="4"/>
  <c r="BR59" i="4"/>
  <c r="BL59" i="4"/>
  <c r="EL58" i="4"/>
  <c r="EJ58" i="4"/>
  <c r="DA58" i="4"/>
  <c r="CZ58" i="4"/>
  <c r="CT58" i="4"/>
  <c r="CT59" i="4" s="1"/>
  <c r="CS58" i="4"/>
  <c r="CS59" i="4" s="1"/>
  <c r="CR58" i="4"/>
  <c r="CR59" i="4" s="1"/>
  <c r="CQ58" i="4"/>
  <c r="CP58" i="4"/>
  <c r="CP59" i="4" s="1"/>
  <c r="CM58" i="4"/>
  <c r="CM59" i="4" s="1"/>
  <c r="CL58" i="4"/>
  <c r="CL59" i="4" s="1"/>
  <c r="CK58" i="4"/>
  <c r="CK59" i="4" s="1"/>
  <c r="CJ58" i="4"/>
  <c r="CJ59" i="4" s="1"/>
  <c r="CG58" i="4"/>
  <c r="CF58" i="4"/>
  <c r="CF59" i="4" s="1"/>
  <c r="CE58" i="4"/>
  <c r="CD58" i="4"/>
  <c r="CD59" i="4" s="1"/>
  <c r="CA58" i="4"/>
  <c r="CA59" i="4" s="1"/>
  <c r="BZ58" i="4"/>
  <c r="BZ59" i="4" s="1"/>
  <c r="BY58" i="4"/>
  <c r="BY59" i="4" s="1"/>
  <c r="BX58" i="4"/>
  <c r="BX59" i="4" s="1"/>
  <c r="BU58" i="4"/>
  <c r="BT58" i="4"/>
  <c r="BS58" i="4"/>
  <c r="BS59" i="4" s="1"/>
  <c r="BR58" i="4"/>
  <c r="BO58" i="4"/>
  <c r="BO59" i="4" s="1"/>
  <c r="BN58" i="4"/>
  <c r="BN59" i="4" s="1"/>
  <c r="BM58" i="4"/>
  <c r="BM59" i="4" s="1"/>
  <c r="BL58" i="4"/>
  <c r="BI58" i="4"/>
  <c r="BI59" i="4" s="1"/>
  <c r="BH58" i="4"/>
  <c r="BH59" i="4" s="1"/>
  <c r="BG58" i="4"/>
  <c r="BG59" i="4" s="1"/>
  <c r="BF58" i="4"/>
  <c r="BF59" i="4" s="1"/>
  <c r="BC58" i="4"/>
  <c r="BC59" i="4" s="1"/>
  <c r="BB58" i="4"/>
  <c r="BB59" i="4" s="1"/>
  <c r="BA58" i="4"/>
  <c r="BA59" i="4" s="1"/>
  <c r="AZ58" i="4"/>
  <c r="AZ59" i="4" s="1"/>
  <c r="ET57" i="4"/>
  <c r="ES57" i="4"/>
  <c r="ER57" i="4"/>
  <c r="EQ57" i="4"/>
  <c r="EP57" i="4"/>
  <c r="EM57" i="4"/>
  <c r="EN57" i="4" s="1"/>
  <c r="EL57" i="4"/>
  <c r="EK57" i="4"/>
  <c r="EJ57" i="4"/>
  <c r="EG57" i="4"/>
  <c r="EH57" i="4" s="1"/>
  <c r="EF57" i="4"/>
  <c r="EE57" i="4"/>
  <c r="ED57" i="4"/>
  <c r="EA57" i="4"/>
  <c r="EB57" i="4" s="1"/>
  <c r="DZ57" i="4"/>
  <c r="DY57" i="4"/>
  <c r="DX57" i="4"/>
  <c r="DU57" i="4"/>
  <c r="DV57" i="4" s="1"/>
  <c r="DT57" i="4"/>
  <c r="DS57" i="4"/>
  <c r="DR57" i="4"/>
  <c r="DO57" i="4"/>
  <c r="DP57" i="4" s="1"/>
  <c r="DN57" i="4"/>
  <c r="DM57" i="4"/>
  <c r="DL57" i="4"/>
  <c r="DI57" i="4"/>
  <c r="DJ57" i="4" s="1"/>
  <c r="DH57" i="4"/>
  <c r="DG57" i="4"/>
  <c r="DG58" i="4" s="1"/>
  <c r="DF57" i="4"/>
  <c r="DC57" i="4"/>
  <c r="DD57" i="4" s="1"/>
  <c r="DB57" i="4"/>
  <c r="DA57" i="4"/>
  <c r="CZ57" i="4"/>
  <c r="CN57" i="4"/>
  <c r="CH57" i="4"/>
  <c r="CB57" i="4"/>
  <c r="BV57" i="4"/>
  <c r="BP57" i="4"/>
  <c r="BJ57" i="4"/>
  <c r="BD57" i="4"/>
  <c r="ES56" i="4"/>
  <c r="ET56" i="4" s="1"/>
  <c r="ET58" i="4" s="1"/>
  <c r="ER56" i="4"/>
  <c r="ER58" i="4" s="1"/>
  <c r="EQ56" i="4"/>
  <c r="EQ58" i="4" s="1"/>
  <c r="EP56" i="4"/>
  <c r="EP58" i="4" s="1"/>
  <c r="EM56" i="4"/>
  <c r="EN56" i="4" s="1"/>
  <c r="EL56" i="4"/>
  <c r="EK56" i="4"/>
  <c r="EK58" i="4" s="1"/>
  <c r="EJ56" i="4"/>
  <c r="EG56" i="4"/>
  <c r="EG58" i="4" s="1"/>
  <c r="EF56" i="4"/>
  <c r="EF58" i="4" s="1"/>
  <c r="EE56" i="4"/>
  <c r="EE58" i="4" s="1"/>
  <c r="ED56" i="4"/>
  <c r="ED58" i="4" s="1"/>
  <c r="EA56" i="4"/>
  <c r="EB56" i="4" s="1"/>
  <c r="DZ56" i="4"/>
  <c r="DZ58" i="4" s="1"/>
  <c r="DY56" i="4"/>
  <c r="DY58" i="4" s="1"/>
  <c r="DX56" i="4"/>
  <c r="DX58" i="4" s="1"/>
  <c r="DU56" i="4"/>
  <c r="DU58" i="4" s="1"/>
  <c r="DT56" i="4"/>
  <c r="DT58" i="4" s="1"/>
  <c r="DS56" i="4"/>
  <c r="DS58" i="4" s="1"/>
  <c r="DR56" i="4"/>
  <c r="DO56" i="4"/>
  <c r="DN56" i="4"/>
  <c r="DN58" i="4" s="1"/>
  <c r="DM56" i="4"/>
  <c r="DM58" i="4" s="1"/>
  <c r="DL56" i="4"/>
  <c r="DL58" i="4" s="1"/>
  <c r="DI56" i="4"/>
  <c r="DJ56" i="4" s="1"/>
  <c r="DH56" i="4"/>
  <c r="DG56" i="4"/>
  <c r="DF56" i="4"/>
  <c r="DC56" i="4"/>
  <c r="DB56" i="4"/>
  <c r="DB58" i="4" s="1"/>
  <c r="DA56" i="4"/>
  <c r="CZ56" i="4"/>
  <c r="CN56" i="4"/>
  <c r="CH56" i="4"/>
  <c r="CB56" i="4"/>
  <c r="BV56" i="4"/>
  <c r="BV58" i="4" s="1"/>
  <c r="BP56" i="4"/>
  <c r="BP58" i="4" s="1"/>
  <c r="BJ56" i="4"/>
  <c r="BD56" i="4"/>
  <c r="BD58" i="4" s="1"/>
  <c r="DN50" i="4"/>
  <c r="DM50" i="4"/>
  <c r="CT50" i="4"/>
  <c r="CS50" i="4"/>
  <c r="CR50" i="4"/>
  <c r="CQ50" i="4"/>
  <c r="CP50" i="4"/>
  <c r="CN50" i="4"/>
  <c r="CM50" i="4"/>
  <c r="CL50" i="4"/>
  <c r="CK50" i="4"/>
  <c r="CJ50" i="4"/>
  <c r="CG50" i="4"/>
  <c r="CF50" i="4"/>
  <c r="CE50" i="4"/>
  <c r="CD50" i="4"/>
  <c r="CA50" i="4"/>
  <c r="BZ50" i="4"/>
  <c r="BY50" i="4"/>
  <c r="BX50" i="4"/>
  <c r="BV50" i="4"/>
  <c r="BU50" i="4"/>
  <c r="BT50" i="4"/>
  <c r="BS50" i="4"/>
  <c r="BR50" i="4"/>
  <c r="BP50" i="4"/>
  <c r="BO50" i="4"/>
  <c r="BN50" i="4"/>
  <c r="BM50" i="4"/>
  <c r="BL50" i="4"/>
  <c r="BJ50" i="4"/>
  <c r="BI50" i="4"/>
  <c r="BH50" i="4"/>
  <c r="BG50" i="4"/>
  <c r="BF50" i="4"/>
  <c r="BC50" i="4"/>
  <c r="BB50" i="4"/>
  <c r="BA50" i="4"/>
  <c r="AZ50" i="4"/>
  <c r="DJ49" i="4"/>
  <c r="DF49" i="4"/>
  <c r="DF50" i="4" s="1"/>
  <c r="DC49" i="4"/>
  <c r="DC50" i="4" s="1"/>
  <c r="DB49" i="4"/>
  <c r="DA49" i="4"/>
  <c r="CZ49" i="4"/>
  <c r="BD49" i="4"/>
  <c r="ET48" i="4"/>
  <c r="EM48" i="4"/>
  <c r="EN48" i="4" s="1"/>
  <c r="EL48" i="4"/>
  <c r="EK48" i="4"/>
  <c r="EJ48" i="4"/>
  <c r="EG48" i="4"/>
  <c r="EH48" i="4" s="1"/>
  <c r="EF48" i="4"/>
  <c r="EE48" i="4"/>
  <c r="ED48" i="4"/>
  <c r="EA48" i="4"/>
  <c r="EB48" i="4" s="1"/>
  <c r="DZ48" i="4"/>
  <c r="DY48" i="4"/>
  <c r="DX48" i="4"/>
  <c r="DV48" i="4"/>
  <c r="DR48" i="4"/>
  <c r="DL48" i="4"/>
  <c r="DJ48" i="4"/>
  <c r="DF48" i="4"/>
  <c r="CH48" i="4"/>
  <c r="CB48" i="4"/>
  <c r="ES47" i="4"/>
  <c r="ET47" i="4" s="1"/>
  <c r="EM47" i="4"/>
  <c r="EN47" i="4" s="1"/>
  <c r="EL47" i="4"/>
  <c r="EK47" i="4"/>
  <c r="EJ47" i="4"/>
  <c r="EG47" i="4"/>
  <c r="EH47" i="4" s="1"/>
  <c r="EF47" i="4"/>
  <c r="EE47" i="4"/>
  <c r="ED47" i="4"/>
  <c r="EB47" i="4"/>
  <c r="EA47" i="4"/>
  <c r="DZ47" i="4"/>
  <c r="DY47" i="4"/>
  <c r="DX47" i="4"/>
  <c r="DU47" i="4"/>
  <c r="DV47" i="4" s="1"/>
  <c r="DT47" i="4"/>
  <c r="DS47" i="4"/>
  <c r="DR47" i="4"/>
  <c r="DO47" i="4"/>
  <c r="DN47" i="4"/>
  <c r="DL47" i="4"/>
  <c r="DL50" i="4" s="1"/>
  <c r="DI47" i="4"/>
  <c r="DI50" i="4" s="1"/>
  <c r="DH47" i="4"/>
  <c r="DH50" i="4" s="1"/>
  <c r="DG47" i="4"/>
  <c r="DG50" i="4" s="1"/>
  <c r="DF47" i="4"/>
  <c r="DC47" i="4"/>
  <c r="DB47" i="4"/>
  <c r="DA47" i="4"/>
  <c r="CZ47" i="4"/>
  <c r="CH47" i="4"/>
  <c r="CB47" i="4"/>
  <c r="CB50" i="4" s="1"/>
  <c r="BD47" i="4"/>
  <c r="AD38" i="7" s="1"/>
  <c r="AP30" i="15" s="1"/>
  <c r="CV43" i="4"/>
  <c r="CT43" i="4"/>
  <c r="CS43" i="4"/>
  <c r="CR43" i="4"/>
  <c r="CQ43" i="4"/>
  <c r="CP43" i="4"/>
  <c r="CM43" i="4"/>
  <c r="CL43" i="4"/>
  <c r="CK43" i="4"/>
  <c r="CJ43" i="4"/>
  <c r="CG43" i="4"/>
  <c r="CF43" i="4"/>
  <c r="CE43" i="4"/>
  <c r="CD43" i="4"/>
  <c r="CA43" i="4"/>
  <c r="BZ43" i="4"/>
  <c r="BY43" i="4"/>
  <c r="BX43" i="4"/>
  <c r="BU43" i="4"/>
  <c r="BT43" i="4"/>
  <c r="BS43" i="4"/>
  <c r="BR43" i="4"/>
  <c r="BO43" i="4"/>
  <c r="BN43" i="4"/>
  <c r="BM43" i="4"/>
  <c r="BL43" i="4"/>
  <c r="BI43" i="4"/>
  <c r="BH43" i="4"/>
  <c r="BG43" i="4"/>
  <c r="BF43" i="4"/>
  <c r="BC43" i="4"/>
  <c r="BA43" i="4"/>
  <c r="AZ43" i="4"/>
  <c r="C43" i="4"/>
  <c r="B43" i="4"/>
  <c r="C42" i="4"/>
  <c r="B42" i="4"/>
  <c r="DY38" i="4"/>
  <c r="DN38" i="4"/>
  <c r="DI38" i="4"/>
  <c r="CV38" i="4"/>
  <c r="CT38" i="4"/>
  <c r="CS38" i="4"/>
  <c r="CR38" i="4"/>
  <c r="CQ38" i="4"/>
  <c r="CP38" i="4"/>
  <c r="CM38" i="4"/>
  <c r="CL38" i="4"/>
  <c r="CK38" i="4"/>
  <c r="CJ38" i="4"/>
  <c r="CG38" i="4"/>
  <c r="CF38" i="4"/>
  <c r="CE38" i="4"/>
  <c r="CD38" i="4"/>
  <c r="CA38" i="4"/>
  <c r="BZ38" i="4"/>
  <c r="BY38" i="4"/>
  <c r="BX38" i="4"/>
  <c r="BU38" i="4"/>
  <c r="BT38" i="4"/>
  <c r="BS38" i="4"/>
  <c r="BR38" i="4"/>
  <c r="BO38" i="4"/>
  <c r="BN38" i="4"/>
  <c r="BM38" i="4"/>
  <c r="BL38" i="4"/>
  <c r="BI38" i="4"/>
  <c r="BH38" i="4"/>
  <c r="BG38" i="4"/>
  <c r="BF38" i="4"/>
  <c r="BC38" i="4"/>
  <c r="BB38" i="4"/>
  <c r="BA38" i="4"/>
  <c r="AZ38" i="4"/>
  <c r="C38" i="4"/>
  <c r="B38" i="4"/>
  <c r="C37" i="4"/>
  <c r="B37" i="4"/>
  <c r="ES32" i="4"/>
  <c r="ES43" i="4" s="1"/>
  <c r="ER32" i="4"/>
  <c r="EQ32" i="4"/>
  <c r="EP32" i="4"/>
  <c r="EM32" i="4"/>
  <c r="EN32" i="4" s="1"/>
  <c r="EN38" i="4" s="1"/>
  <c r="EL32" i="4"/>
  <c r="EL43" i="4" s="1"/>
  <c r="EK32" i="4"/>
  <c r="EK38" i="4" s="1"/>
  <c r="EJ32" i="4"/>
  <c r="EJ43" i="4" s="1"/>
  <c r="EG32" i="4"/>
  <c r="EG38" i="4" s="1"/>
  <c r="EF32" i="4"/>
  <c r="EF43" i="4" s="1"/>
  <c r="EE32" i="4"/>
  <c r="EE43" i="4" s="1"/>
  <c r="ED32" i="4"/>
  <c r="ED43" i="4" s="1"/>
  <c r="EA32" i="4"/>
  <c r="EA38" i="4" s="1"/>
  <c r="DZ32" i="4"/>
  <c r="DZ43" i="4" s="1"/>
  <c r="DY32" i="4"/>
  <c r="DY43" i="4" s="1"/>
  <c r="DX32" i="4"/>
  <c r="DX38" i="4" s="1"/>
  <c r="DU32" i="4"/>
  <c r="DU43" i="4" s="1"/>
  <c r="DT32" i="4"/>
  <c r="DT43" i="4" s="1"/>
  <c r="DS32" i="4"/>
  <c r="DS43" i="4" s="1"/>
  <c r="DR32" i="4"/>
  <c r="DR38" i="4" s="1"/>
  <c r="DP32" i="4"/>
  <c r="DP43" i="4" s="1"/>
  <c r="DO32" i="4"/>
  <c r="DO43" i="4" s="1"/>
  <c r="DN32" i="4"/>
  <c r="DN43" i="4" s="1"/>
  <c r="DM32" i="4"/>
  <c r="DM43" i="4" s="1"/>
  <c r="DL32" i="4"/>
  <c r="DI32" i="4"/>
  <c r="DI43" i="4" s="1"/>
  <c r="DH32" i="4"/>
  <c r="DH43" i="4" s="1"/>
  <c r="DG32" i="4"/>
  <c r="DG43" i="4" s="1"/>
  <c r="DF32" i="4"/>
  <c r="DF43" i="4" s="1"/>
  <c r="DC32" i="4"/>
  <c r="DB32" i="4"/>
  <c r="DB38" i="4" s="1"/>
  <c r="DA32" i="4"/>
  <c r="CZ32" i="4"/>
  <c r="CZ38" i="4" s="1"/>
  <c r="CN32" i="4"/>
  <c r="CN43" i="4" s="1"/>
  <c r="CH32" i="4"/>
  <c r="CH38" i="4" s="1"/>
  <c r="CB32" i="4"/>
  <c r="CB38" i="4" s="1"/>
  <c r="BV32" i="4"/>
  <c r="BV43" i="4" s="1"/>
  <c r="BP32" i="4"/>
  <c r="BP43" i="4" s="1"/>
  <c r="BJ32" i="4"/>
  <c r="BJ43" i="4" s="1"/>
  <c r="BD32" i="4"/>
  <c r="ES29" i="4"/>
  <c r="ET29" i="4" s="1"/>
  <c r="ER29" i="4"/>
  <c r="EQ29" i="4"/>
  <c r="EP29" i="4"/>
  <c r="EM29" i="4"/>
  <c r="EN29" i="4" s="1"/>
  <c r="EL29" i="4"/>
  <c r="EK29" i="4"/>
  <c r="EJ29" i="4"/>
  <c r="EG29" i="4"/>
  <c r="EH29" i="4" s="1"/>
  <c r="EF29" i="4"/>
  <c r="EE29" i="4"/>
  <c r="ED29" i="4"/>
  <c r="EA29" i="4"/>
  <c r="EB29" i="4" s="1"/>
  <c r="DZ29" i="4"/>
  <c r="DY29" i="4"/>
  <c r="DX29" i="4"/>
  <c r="DU29" i="4"/>
  <c r="DV29" i="4" s="1"/>
  <c r="DT29" i="4"/>
  <c r="DS29" i="4"/>
  <c r="DR29" i="4"/>
  <c r="DO29" i="4"/>
  <c r="DP29" i="4" s="1"/>
  <c r="DN29" i="4"/>
  <c r="DM29" i="4"/>
  <c r="DL29" i="4"/>
  <c r="DI29" i="4"/>
  <c r="DJ29" i="4" s="1"/>
  <c r="DH29" i="4"/>
  <c r="DG29" i="4"/>
  <c r="DF29" i="4"/>
  <c r="DC29" i="4"/>
  <c r="DD29" i="4" s="1"/>
  <c r="DB29" i="4"/>
  <c r="DA29" i="4"/>
  <c r="CZ29" i="4"/>
  <c r="CN29" i="4"/>
  <c r="CH29" i="4"/>
  <c r="CB29" i="4"/>
  <c r="BV29" i="4"/>
  <c r="BP29" i="4"/>
  <c r="BJ29" i="4"/>
  <c r="BD29" i="4"/>
  <c r="ES26" i="4"/>
  <c r="ET26" i="4" s="1"/>
  <c r="ER26" i="4"/>
  <c r="EQ26" i="4"/>
  <c r="EP26" i="4"/>
  <c r="EM26" i="4"/>
  <c r="EN26" i="4" s="1"/>
  <c r="EL26" i="4"/>
  <c r="EK26" i="4"/>
  <c r="EJ26" i="4"/>
  <c r="EG26" i="4"/>
  <c r="EH26" i="4" s="1"/>
  <c r="EF26" i="4"/>
  <c r="EE26" i="4"/>
  <c r="ED26" i="4"/>
  <c r="EA26" i="4"/>
  <c r="EB26" i="4" s="1"/>
  <c r="DZ26" i="4"/>
  <c r="DY26" i="4"/>
  <c r="DX26" i="4"/>
  <c r="DU26" i="4"/>
  <c r="DV26" i="4" s="1"/>
  <c r="DT26" i="4"/>
  <c r="DS26" i="4"/>
  <c r="DR26" i="4"/>
  <c r="DO26" i="4"/>
  <c r="DP26" i="4" s="1"/>
  <c r="DN26" i="4"/>
  <c r="DM26" i="4"/>
  <c r="DL26" i="4"/>
  <c r="DI26" i="4"/>
  <c r="DJ26" i="4" s="1"/>
  <c r="DH26" i="4"/>
  <c r="DG26" i="4"/>
  <c r="DF26" i="4"/>
  <c r="DC26" i="4"/>
  <c r="DD26" i="4" s="1"/>
  <c r="DB26" i="4"/>
  <c r="DA26" i="4"/>
  <c r="CZ26" i="4"/>
  <c r="CN26" i="4"/>
  <c r="CH26" i="4"/>
  <c r="CB26" i="4"/>
  <c r="BV26" i="4"/>
  <c r="BP26" i="4"/>
  <c r="BJ26" i="4"/>
  <c r="BD26" i="4"/>
  <c r="C23" i="4"/>
  <c r="B23" i="4"/>
  <c r="DH20" i="4"/>
  <c r="DG20" i="4"/>
  <c r="CV20" i="4"/>
  <c r="CT20" i="4"/>
  <c r="CS20" i="4"/>
  <c r="CR20" i="4"/>
  <c r="CQ20" i="4"/>
  <c r="CP20" i="4"/>
  <c r="CM20" i="4"/>
  <c r="CL20" i="4"/>
  <c r="CK20" i="4"/>
  <c r="CJ20" i="4"/>
  <c r="CG20" i="4"/>
  <c r="CF20" i="4"/>
  <c r="CE20" i="4"/>
  <c r="CD20" i="4"/>
  <c r="CA20" i="4"/>
  <c r="BZ20" i="4"/>
  <c r="BY20" i="4"/>
  <c r="BX20" i="4"/>
  <c r="BU20" i="4"/>
  <c r="BT20" i="4"/>
  <c r="BS20" i="4"/>
  <c r="BR20" i="4"/>
  <c r="BO20" i="4"/>
  <c r="BN20" i="4"/>
  <c r="BM20" i="4"/>
  <c r="BL20" i="4"/>
  <c r="BI20" i="4"/>
  <c r="BH20" i="4"/>
  <c r="BG20" i="4"/>
  <c r="BF20" i="4"/>
  <c r="BC20" i="4"/>
  <c r="BB20" i="4"/>
  <c r="BA20" i="4"/>
  <c r="AZ20" i="4"/>
  <c r="C20" i="4"/>
  <c r="B20" i="4"/>
  <c r="ES19" i="4"/>
  <c r="ET19" i="4" s="1"/>
  <c r="ER19" i="4"/>
  <c r="EQ19" i="4"/>
  <c r="EP19" i="4"/>
  <c r="EM19" i="4"/>
  <c r="EN19" i="4" s="1"/>
  <c r="EL19" i="4"/>
  <c r="EK19" i="4"/>
  <c r="EJ19" i="4"/>
  <c r="EG19" i="4"/>
  <c r="EH19" i="4" s="1"/>
  <c r="EF19" i="4"/>
  <c r="EE19" i="4"/>
  <c r="ED19" i="4"/>
  <c r="EA19" i="4"/>
  <c r="EB19" i="4" s="1"/>
  <c r="DZ19" i="4"/>
  <c r="DY19" i="4"/>
  <c r="DX19" i="4"/>
  <c r="DU19" i="4"/>
  <c r="DV19" i="4" s="1"/>
  <c r="DT19" i="4"/>
  <c r="DS19" i="4"/>
  <c r="DR19" i="4"/>
  <c r="DO19" i="4"/>
  <c r="DP19" i="4" s="1"/>
  <c r="DN19" i="4"/>
  <c r="DM19" i="4"/>
  <c r="DL19" i="4"/>
  <c r="DI19" i="4"/>
  <c r="DJ19" i="4" s="1"/>
  <c r="DH19" i="4"/>
  <c r="DG19" i="4"/>
  <c r="DF19" i="4"/>
  <c r="DC19" i="4"/>
  <c r="DD19" i="4" s="1"/>
  <c r="DB19" i="4"/>
  <c r="DA19" i="4"/>
  <c r="CZ19" i="4"/>
  <c r="CN19" i="4"/>
  <c r="CH19" i="4"/>
  <c r="CB19" i="4"/>
  <c r="BV19" i="4"/>
  <c r="BP19" i="4"/>
  <c r="BJ19" i="4"/>
  <c r="BD19" i="4"/>
  <c r="C19" i="4"/>
  <c r="B19" i="4"/>
  <c r="ES18" i="4"/>
  <c r="ET18" i="4" s="1"/>
  <c r="ER18" i="4"/>
  <c r="EQ18" i="4"/>
  <c r="EP18" i="4"/>
  <c r="EM18" i="4"/>
  <c r="EN18" i="4" s="1"/>
  <c r="EL18" i="4"/>
  <c r="EK18" i="4"/>
  <c r="EJ18" i="4"/>
  <c r="EG18" i="4"/>
  <c r="EH18" i="4" s="1"/>
  <c r="EF18" i="4"/>
  <c r="EE18" i="4"/>
  <c r="ED18" i="4"/>
  <c r="EA18" i="4"/>
  <c r="EB18" i="4" s="1"/>
  <c r="DZ18" i="4"/>
  <c r="DY18" i="4"/>
  <c r="DX18" i="4"/>
  <c r="DU18" i="4"/>
  <c r="DV18" i="4" s="1"/>
  <c r="DT18" i="4"/>
  <c r="DS18" i="4"/>
  <c r="DR18" i="4"/>
  <c r="DO18" i="4"/>
  <c r="DP18" i="4" s="1"/>
  <c r="DN18" i="4"/>
  <c r="DM18" i="4"/>
  <c r="DL18" i="4"/>
  <c r="DI18" i="4"/>
  <c r="DJ18" i="4" s="1"/>
  <c r="DH18" i="4"/>
  <c r="DG18" i="4"/>
  <c r="DF18" i="4"/>
  <c r="DD18" i="4"/>
  <c r="DC18" i="4"/>
  <c r="DB18" i="4"/>
  <c r="DA18" i="4"/>
  <c r="CZ18" i="4"/>
  <c r="CN18" i="4"/>
  <c r="CH18" i="4"/>
  <c r="CB18" i="4"/>
  <c r="BV18" i="4"/>
  <c r="BP18" i="4"/>
  <c r="BJ18" i="4"/>
  <c r="BD18" i="4"/>
  <c r="C18" i="4"/>
  <c r="B18" i="4"/>
  <c r="ES17" i="4"/>
  <c r="ET17" i="4" s="1"/>
  <c r="ER17" i="4"/>
  <c r="EQ17" i="4"/>
  <c r="EP17" i="4"/>
  <c r="EM17" i="4"/>
  <c r="EN17" i="4" s="1"/>
  <c r="EL17" i="4"/>
  <c r="EK17" i="4"/>
  <c r="EJ17" i="4"/>
  <c r="EH17" i="4"/>
  <c r="EG17" i="4"/>
  <c r="EF17" i="4"/>
  <c r="EE17" i="4"/>
  <c r="ED17" i="4"/>
  <c r="EA17" i="4"/>
  <c r="EB17" i="4" s="1"/>
  <c r="DZ17" i="4"/>
  <c r="DY17" i="4"/>
  <c r="DX17" i="4"/>
  <c r="DU17" i="4"/>
  <c r="DV17" i="4" s="1"/>
  <c r="DT17" i="4"/>
  <c r="DS17" i="4"/>
  <c r="DR17" i="4"/>
  <c r="DO17" i="4"/>
  <c r="DP17" i="4" s="1"/>
  <c r="DN17" i="4"/>
  <c r="DM17" i="4"/>
  <c r="DM20" i="4" s="1"/>
  <c r="DL17" i="4"/>
  <c r="DI17" i="4"/>
  <c r="DJ17" i="4" s="1"/>
  <c r="DH17" i="4"/>
  <c r="DG17" i="4"/>
  <c r="DF17" i="4"/>
  <c r="DC17" i="4"/>
  <c r="DD17" i="4" s="1"/>
  <c r="DB17" i="4"/>
  <c r="DA17" i="4"/>
  <c r="CZ17" i="4"/>
  <c r="CN17" i="4"/>
  <c r="CH17" i="4"/>
  <c r="CB17" i="4"/>
  <c r="BV17" i="4"/>
  <c r="BP17" i="4"/>
  <c r="BJ17" i="4"/>
  <c r="BD17" i="4"/>
  <c r="C17" i="4"/>
  <c r="B17" i="4"/>
  <c r="ES16" i="4"/>
  <c r="ER16" i="4"/>
  <c r="EQ16" i="4"/>
  <c r="EP16" i="4"/>
  <c r="EP20" i="4" s="1"/>
  <c r="EN16" i="4"/>
  <c r="EM16" i="4"/>
  <c r="EL16" i="4"/>
  <c r="EK16" i="4"/>
  <c r="EJ16" i="4"/>
  <c r="EG16" i="4"/>
  <c r="EG20" i="4" s="1"/>
  <c r="EF16" i="4"/>
  <c r="EF20" i="4" s="1"/>
  <c r="EE16" i="4"/>
  <c r="ED16" i="4"/>
  <c r="EA16" i="4"/>
  <c r="EB16" i="4" s="1"/>
  <c r="DZ16" i="4"/>
  <c r="DY16" i="4"/>
  <c r="DX16" i="4"/>
  <c r="DU16" i="4"/>
  <c r="DT16" i="4"/>
  <c r="DS16" i="4"/>
  <c r="DR16" i="4"/>
  <c r="DO16" i="4"/>
  <c r="DN16" i="4"/>
  <c r="DM16" i="4"/>
  <c r="DL16" i="4"/>
  <c r="DI16" i="4"/>
  <c r="DJ16" i="4" s="1"/>
  <c r="DH16" i="4"/>
  <c r="DG16" i="4"/>
  <c r="DF16" i="4"/>
  <c r="DC16" i="4"/>
  <c r="DC20" i="4" s="1"/>
  <c r="DB16" i="4"/>
  <c r="DA16" i="4"/>
  <c r="CZ16" i="4"/>
  <c r="CN16" i="4"/>
  <c r="CH16" i="4"/>
  <c r="CB16" i="4"/>
  <c r="BV16" i="4"/>
  <c r="BP16" i="4"/>
  <c r="BJ16" i="4"/>
  <c r="BD16" i="4"/>
  <c r="BD20" i="4" s="1"/>
  <c r="C16" i="4"/>
  <c r="B16" i="4"/>
  <c r="C15" i="4"/>
  <c r="B15" i="4"/>
  <c r="CP12" i="4"/>
  <c r="CL12" i="4"/>
  <c r="BT9" i="6" s="1"/>
  <c r="CK12" i="4"/>
  <c r="BS9" i="6" s="1"/>
  <c r="BR12" i="4"/>
  <c r="AZ9" i="6" s="1"/>
  <c r="BH12" i="4"/>
  <c r="AP9" i="6" s="1"/>
  <c r="BC12" i="4"/>
  <c r="AK9" i="6" s="1"/>
  <c r="C12" i="4"/>
  <c r="B12" i="4"/>
  <c r="EL11" i="4"/>
  <c r="EL12" i="4" s="1"/>
  <c r="DO11" i="4"/>
  <c r="DO12" i="4" s="1"/>
  <c r="CO9" i="6" s="1"/>
  <c r="DN11" i="4"/>
  <c r="CV11" i="4"/>
  <c r="CV22" i="4" s="1"/>
  <c r="CT11" i="4"/>
  <c r="CT22" i="4" s="1"/>
  <c r="CT28" i="4" s="1"/>
  <c r="CT30" i="4" s="1"/>
  <c r="CS11" i="4"/>
  <c r="CS22" i="4" s="1"/>
  <c r="CS28" i="4" s="1"/>
  <c r="CS30" i="4" s="1"/>
  <c r="CR11" i="4"/>
  <c r="CR22" i="4" s="1"/>
  <c r="CR23" i="4" s="1"/>
  <c r="CQ11" i="4"/>
  <c r="CP11" i="4"/>
  <c r="CM11" i="4"/>
  <c r="CM12" i="4" s="1"/>
  <c r="BU9" i="6" s="1"/>
  <c r="CL11" i="4"/>
  <c r="BT8" i="6" s="1"/>
  <c r="BT24" i="6" s="1"/>
  <c r="BT25" i="6" s="1"/>
  <c r="CK11" i="4"/>
  <c r="CK22" i="4" s="1"/>
  <c r="CJ11" i="4"/>
  <c r="CJ12" i="4" s="1"/>
  <c r="BR9" i="6" s="1"/>
  <c r="CG11" i="4"/>
  <c r="BO8" i="6" s="1"/>
  <c r="BO24" i="6" s="1"/>
  <c r="BO25" i="6" s="1"/>
  <c r="CF11" i="4"/>
  <c r="BN8" i="6" s="1"/>
  <c r="BN24" i="6" s="1"/>
  <c r="BN25" i="6" s="1"/>
  <c r="CE11" i="4"/>
  <c r="CE12" i="4" s="1"/>
  <c r="BM9" i="6" s="1"/>
  <c r="CD11" i="4"/>
  <c r="CD12" i="4" s="1"/>
  <c r="BL9" i="6" s="1"/>
  <c r="CA11" i="4"/>
  <c r="CA12" i="4" s="1"/>
  <c r="BI9" i="6" s="1"/>
  <c r="BZ11" i="4"/>
  <c r="BZ12" i="4" s="1"/>
  <c r="BH9" i="6" s="1"/>
  <c r="BY11" i="4"/>
  <c r="BY12" i="4" s="1"/>
  <c r="BG9" i="6" s="1"/>
  <c r="BX11" i="4"/>
  <c r="BF8" i="6" s="1"/>
  <c r="BF24" i="6" s="1"/>
  <c r="BF25" i="6" s="1"/>
  <c r="BU11" i="4"/>
  <c r="BU12" i="4" s="1"/>
  <c r="BC9" i="6" s="1"/>
  <c r="BT11" i="4"/>
  <c r="BT12" i="4" s="1"/>
  <c r="BB9" i="6" s="1"/>
  <c r="BS11" i="4"/>
  <c r="BA8" i="6" s="1"/>
  <c r="BA24" i="6" s="1"/>
  <c r="BA25" i="6" s="1"/>
  <c r="BR11" i="4"/>
  <c r="BO11" i="4"/>
  <c r="BO12" i="4" s="1"/>
  <c r="AW9" i="6" s="1"/>
  <c r="BN11" i="4"/>
  <c r="AV8" i="6" s="1"/>
  <c r="AV24" i="6" s="1"/>
  <c r="AV25" i="6" s="1"/>
  <c r="BM11" i="4"/>
  <c r="AU8" i="6" s="1"/>
  <c r="AU24" i="6" s="1"/>
  <c r="AU25" i="6" s="1"/>
  <c r="BL11" i="4"/>
  <c r="BL12" i="4" s="1"/>
  <c r="AT9" i="6" s="1"/>
  <c r="BI11" i="4"/>
  <c r="AQ8" i="6" s="1"/>
  <c r="AQ24" i="6" s="1"/>
  <c r="AQ25" i="6" s="1"/>
  <c r="BH11" i="4"/>
  <c r="BG11" i="4"/>
  <c r="BG12" i="4" s="1"/>
  <c r="AO9" i="6" s="1"/>
  <c r="BF11" i="4"/>
  <c r="BF12" i="4" s="1"/>
  <c r="AN9" i="6" s="1"/>
  <c r="BC11" i="4"/>
  <c r="BC22" i="4" s="1"/>
  <c r="BC23" i="4" s="1"/>
  <c r="BB11" i="4"/>
  <c r="BB12" i="4" s="1"/>
  <c r="AJ9" i="6" s="1"/>
  <c r="BA11" i="4"/>
  <c r="BA12" i="4" s="1"/>
  <c r="AI9" i="6" s="1"/>
  <c r="AZ11" i="4"/>
  <c r="AZ22" i="4" s="1"/>
  <c r="C11" i="4"/>
  <c r="B11" i="4"/>
  <c r="ES10" i="4"/>
  <c r="ET10" i="4" s="1"/>
  <c r="ER10" i="4"/>
  <c r="EQ10" i="4"/>
  <c r="EQ11" i="4" s="1"/>
  <c r="EP10" i="4"/>
  <c r="EM10" i="4"/>
  <c r="EM11" i="4" s="1"/>
  <c r="EL10" i="4"/>
  <c r="EK10" i="4"/>
  <c r="EJ10" i="4"/>
  <c r="EG10" i="4"/>
  <c r="EH10" i="4" s="1"/>
  <c r="EF10" i="4"/>
  <c r="EE10" i="4"/>
  <c r="ED10" i="4"/>
  <c r="EA10" i="4"/>
  <c r="EB10" i="4" s="1"/>
  <c r="DZ10" i="4"/>
  <c r="DY10" i="4"/>
  <c r="DX10" i="4"/>
  <c r="DU10" i="4"/>
  <c r="DV10" i="4" s="1"/>
  <c r="DT10" i="4"/>
  <c r="DT11" i="4" s="1"/>
  <c r="DT12" i="4" s="1"/>
  <c r="DS10" i="4"/>
  <c r="DS11" i="4" s="1"/>
  <c r="DS12" i="4" s="1"/>
  <c r="DR10" i="4"/>
  <c r="DP10" i="4"/>
  <c r="DO10" i="4"/>
  <c r="DN10" i="4"/>
  <c r="DM10" i="4"/>
  <c r="DL10" i="4"/>
  <c r="DI10" i="4"/>
  <c r="DJ10" i="4" s="1"/>
  <c r="DH10" i="4"/>
  <c r="DG10" i="4"/>
  <c r="DF10" i="4"/>
  <c r="DC10" i="4"/>
  <c r="DD10" i="4" s="1"/>
  <c r="DB10" i="4"/>
  <c r="DA10" i="4"/>
  <c r="CZ10" i="4"/>
  <c r="CZ11" i="4" s="1"/>
  <c r="CZ12" i="4" s="1"/>
  <c r="BZ9" i="6" s="1"/>
  <c r="CN10" i="4"/>
  <c r="CH10" i="4"/>
  <c r="CB10" i="4"/>
  <c r="BV10" i="4"/>
  <c r="BP10" i="4"/>
  <c r="BJ10" i="4"/>
  <c r="BD10" i="4"/>
  <c r="C10" i="4"/>
  <c r="B10" i="4"/>
  <c r="ES9" i="4"/>
  <c r="ES11" i="4" s="1"/>
  <c r="ER9" i="4"/>
  <c r="ER11" i="4" s="1"/>
  <c r="ER12" i="4" s="1"/>
  <c r="EQ9" i="4"/>
  <c r="EP9" i="4"/>
  <c r="EM9" i="4"/>
  <c r="EN9" i="4" s="1"/>
  <c r="EL9" i="4"/>
  <c r="EK9" i="4"/>
  <c r="EK11" i="4" s="1"/>
  <c r="EJ9" i="4"/>
  <c r="EJ11" i="4" s="1"/>
  <c r="EH9" i="4"/>
  <c r="EH11" i="4" s="1"/>
  <c r="EH12" i="4" s="1"/>
  <c r="EG9" i="4"/>
  <c r="EG11" i="4" s="1"/>
  <c r="EG22" i="4" s="1"/>
  <c r="EG23" i="4" s="1"/>
  <c r="EF9" i="4"/>
  <c r="EE9" i="4"/>
  <c r="ED9" i="4"/>
  <c r="ED11" i="4" s="1"/>
  <c r="EA9" i="4"/>
  <c r="EA11" i="4" s="1"/>
  <c r="DZ9" i="4"/>
  <c r="DZ11" i="4" s="1"/>
  <c r="DY9" i="4"/>
  <c r="DY11" i="4" s="1"/>
  <c r="DY12" i="4" s="1"/>
  <c r="DX9" i="4"/>
  <c r="DX11" i="4" s="1"/>
  <c r="DX12" i="4" s="1"/>
  <c r="DU9" i="4"/>
  <c r="DV9" i="4" s="1"/>
  <c r="DT9" i="4"/>
  <c r="DS9" i="4"/>
  <c r="DR9" i="4"/>
  <c r="DO9" i="4"/>
  <c r="DP9" i="4" s="1"/>
  <c r="DP11" i="4" s="1"/>
  <c r="DN9" i="4"/>
  <c r="DM9" i="4"/>
  <c r="DM11" i="4" s="1"/>
  <c r="DL9" i="4"/>
  <c r="DI9" i="4"/>
  <c r="DJ9" i="4" s="1"/>
  <c r="DH9" i="4"/>
  <c r="DG9" i="4"/>
  <c r="DF9" i="4"/>
  <c r="DF11" i="4" s="1"/>
  <c r="DF12" i="4" s="1"/>
  <c r="CF9" i="6" s="1"/>
  <c r="DC9" i="4"/>
  <c r="DC11" i="4" s="1"/>
  <c r="DB9" i="4"/>
  <c r="DB11" i="4" s="1"/>
  <c r="DA9" i="4"/>
  <c r="DA11" i="4" s="1"/>
  <c r="DA12" i="4" s="1"/>
  <c r="CA9" i="6" s="1"/>
  <c r="CZ9" i="4"/>
  <c r="CN9" i="4"/>
  <c r="CH9" i="4"/>
  <c r="CB9" i="4"/>
  <c r="BV9" i="4"/>
  <c r="BP9" i="4"/>
  <c r="BP11" i="4" s="1"/>
  <c r="BP12" i="4" s="1"/>
  <c r="AX9" i="6" s="1"/>
  <c r="BJ9" i="4"/>
  <c r="BD9" i="4"/>
  <c r="BD11" i="4" s="1"/>
  <c r="AL8" i="6" s="1"/>
  <c r="AL24" i="6" s="1"/>
  <c r="AL25" i="6" s="1"/>
  <c r="AV9" i="4"/>
  <c r="AV10" i="4" s="1"/>
  <c r="AV11" i="4" s="1"/>
  <c r="AV12" i="4" s="1"/>
  <c r="AV13" i="4" s="1"/>
  <c r="AV14" i="4" s="1"/>
  <c r="AV15" i="4" s="1"/>
  <c r="AV16" i="4" s="1"/>
  <c r="AV17" i="4" s="1"/>
  <c r="AV18" i="4" s="1"/>
  <c r="AV19" i="4" s="1"/>
  <c r="AV20" i="4" s="1"/>
  <c r="AV21" i="4" s="1"/>
  <c r="AV22" i="4" s="1"/>
  <c r="AV23" i="4" s="1"/>
  <c r="AV24" i="4" s="1"/>
  <c r="AV25" i="4" s="1"/>
  <c r="AV26" i="4" s="1"/>
  <c r="AV27" i="4" s="1"/>
  <c r="AV28" i="4" s="1"/>
  <c r="AV29" i="4" s="1"/>
  <c r="AV30" i="4" s="1"/>
  <c r="AV31" i="4" s="1"/>
  <c r="AV32" i="4" s="1"/>
  <c r="AV33" i="4" s="1"/>
  <c r="AV34" i="4" s="1"/>
  <c r="AV35" i="4" s="1"/>
  <c r="AV36" i="4" s="1"/>
  <c r="AV37" i="4" s="1"/>
  <c r="AV38" i="4" s="1"/>
  <c r="AV39" i="4" s="1"/>
  <c r="AV40" i="4" s="1"/>
  <c r="AV41" i="4" s="1"/>
  <c r="AV42" i="4" s="1"/>
  <c r="AV43" i="4" s="1"/>
  <c r="AV44" i="4" s="1"/>
  <c r="AV45" i="4" s="1"/>
  <c r="AV46" i="4" s="1"/>
  <c r="AV47" i="4" s="1"/>
  <c r="AV48" i="4" s="1"/>
  <c r="AV49" i="4" s="1"/>
  <c r="AV50" i="4" s="1"/>
  <c r="AV51" i="4" s="1"/>
  <c r="AV52" i="4" s="1"/>
  <c r="AV53" i="4" s="1"/>
  <c r="AV54" i="4" s="1"/>
  <c r="AV55" i="4" s="1"/>
  <c r="AV56" i="4" s="1"/>
  <c r="AV57" i="4" s="1"/>
  <c r="AV58" i="4" s="1"/>
  <c r="AV59" i="4" s="1"/>
  <c r="AV60" i="4" s="1"/>
  <c r="AV61" i="4" s="1"/>
  <c r="AV62" i="4" s="1"/>
  <c r="AV63" i="4" s="1"/>
  <c r="AV64" i="4" s="1"/>
  <c r="AV65" i="4" s="1"/>
  <c r="AV66" i="4" s="1"/>
  <c r="AV67" i="4" s="1"/>
  <c r="AV68" i="4" s="1"/>
  <c r="AV69" i="4" s="1"/>
  <c r="AV70" i="4" s="1"/>
  <c r="AV71" i="4" s="1"/>
  <c r="AV72" i="4" s="1"/>
  <c r="AV73" i="4" s="1"/>
  <c r="AV74" i="4" s="1"/>
  <c r="AV75" i="4" s="1"/>
  <c r="AV76" i="4" s="1"/>
  <c r="AV77" i="4" s="1"/>
  <c r="AV78" i="4" s="1"/>
  <c r="AV79" i="4" s="1"/>
  <c r="AV80" i="4" s="1"/>
  <c r="AV81" i="4" s="1"/>
  <c r="C9" i="4"/>
  <c r="B9" i="4"/>
  <c r="AM7" i="4"/>
  <c r="W7" i="4"/>
  <c r="U7" i="4"/>
  <c r="E7" i="4"/>
  <c r="E29" i="4" s="1"/>
  <c r="W1" i="4"/>
  <c r="V76" i="3"/>
  <c r="R76" i="3"/>
  <c r="V73" i="3"/>
  <c r="R73" i="3"/>
  <c r="L66" i="3"/>
  <c r="L67" i="3" s="1"/>
  <c r="L68" i="3" s="1"/>
  <c r="L69" i="3" s="1"/>
  <c r="AE65" i="3"/>
  <c r="AD65" i="3"/>
  <c r="AC65" i="3"/>
  <c r="AB65" i="3"/>
  <c r="AA65" i="3"/>
  <c r="Z65" i="3"/>
  <c r="Y65" i="3"/>
  <c r="X65" i="3"/>
  <c r="W65" i="3"/>
  <c r="V65" i="3"/>
  <c r="U65" i="3"/>
  <c r="T65" i="3"/>
  <c r="S65" i="3"/>
  <c r="R65" i="3"/>
  <c r="N65" i="3"/>
  <c r="E65" i="3"/>
  <c r="AB61" i="3"/>
  <c r="AA61" i="3"/>
  <c r="X61" i="3"/>
  <c r="S61" i="3"/>
  <c r="P61" i="3"/>
  <c r="O61" i="3"/>
  <c r="E60" i="3"/>
  <c r="C60" i="3"/>
  <c r="AC59" i="3"/>
  <c r="Y59" i="3"/>
  <c r="X59" i="3"/>
  <c r="U59" i="3"/>
  <c r="Q59" i="3"/>
  <c r="P59" i="3"/>
  <c r="E58" i="3"/>
  <c r="C58" i="3"/>
  <c r="E56" i="3"/>
  <c r="C56" i="3"/>
  <c r="AB55" i="3"/>
  <c r="AA55" i="3"/>
  <c r="Z55" i="3"/>
  <c r="S55" i="3"/>
  <c r="R55" i="3"/>
  <c r="E54" i="3"/>
  <c r="C54" i="3"/>
  <c r="Y50" i="3"/>
  <c r="Q50" i="3"/>
  <c r="P50" i="3"/>
  <c r="J50" i="3"/>
  <c r="AE47" i="3"/>
  <c r="AE61" i="3" s="1"/>
  <c r="AD47" i="3"/>
  <c r="AD61" i="3" s="1"/>
  <c r="AC47" i="3"/>
  <c r="AC61" i="3" s="1"/>
  <c r="AB47" i="3"/>
  <c r="AB48" i="3" s="1"/>
  <c r="AA47" i="3"/>
  <c r="Z47" i="3"/>
  <c r="Z61" i="3" s="1"/>
  <c r="Y47" i="3"/>
  <c r="Y61" i="3" s="1"/>
  <c r="X47" i="3"/>
  <c r="W47" i="3"/>
  <c r="W61" i="3" s="1"/>
  <c r="V47" i="3"/>
  <c r="V61" i="3" s="1"/>
  <c r="U47" i="3"/>
  <c r="T47" i="3"/>
  <c r="S47" i="3"/>
  <c r="R47" i="3"/>
  <c r="R61" i="3" s="1"/>
  <c r="Q47" i="3"/>
  <c r="Q61" i="3" s="1"/>
  <c r="P47" i="3"/>
  <c r="O47" i="3"/>
  <c r="N47" i="3"/>
  <c r="N61" i="3" s="1"/>
  <c r="AE36" i="3"/>
  <c r="AE48" i="3" s="1"/>
  <c r="AD36" i="3"/>
  <c r="AD59" i="3" s="1"/>
  <c r="AC36" i="3"/>
  <c r="AB36" i="3"/>
  <c r="AB59" i="3" s="1"/>
  <c r="AA36" i="3"/>
  <c r="AA59" i="3" s="1"/>
  <c r="Z36" i="3"/>
  <c r="Z48" i="3" s="1"/>
  <c r="Y36" i="3"/>
  <c r="Y48" i="3" s="1"/>
  <c r="X36" i="3"/>
  <c r="X48" i="3" s="1"/>
  <c r="W36" i="3"/>
  <c r="W48" i="3" s="1"/>
  <c r="V36" i="3"/>
  <c r="V59" i="3" s="1"/>
  <c r="U36" i="3"/>
  <c r="T36" i="3"/>
  <c r="S36" i="3"/>
  <c r="R36" i="3"/>
  <c r="R48" i="3" s="1"/>
  <c r="Q36" i="3"/>
  <c r="Q48" i="3" s="1"/>
  <c r="P36" i="3"/>
  <c r="P48" i="3" s="1"/>
  <c r="O36" i="3"/>
  <c r="O48" i="3" s="1"/>
  <c r="N36" i="3"/>
  <c r="N59" i="3" s="1"/>
  <c r="AC26" i="3"/>
  <c r="Y26" i="3"/>
  <c r="Y57" i="3" s="1"/>
  <c r="U26" i="3"/>
  <c r="Q26" i="3"/>
  <c r="Q57" i="3" s="1"/>
  <c r="AE20" i="3"/>
  <c r="AD20" i="3"/>
  <c r="AC20" i="3"/>
  <c r="AB20" i="3"/>
  <c r="AA20" i="3"/>
  <c r="Z20" i="3"/>
  <c r="Z26" i="3" s="1"/>
  <c r="Y20" i="3"/>
  <c r="X20" i="3"/>
  <c r="W20" i="3"/>
  <c r="V20" i="3"/>
  <c r="U20" i="3"/>
  <c r="T20" i="3"/>
  <c r="S20" i="3"/>
  <c r="R20" i="3"/>
  <c r="R26" i="3" s="1"/>
  <c r="Q20" i="3"/>
  <c r="P20" i="3"/>
  <c r="O20" i="3"/>
  <c r="N20" i="3"/>
  <c r="AE16" i="3"/>
  <c r="AE55" i="3" s="1"/>
  <c r="AD16" i="3"/>
  <c r="AD26" i="3" s="1"/>
  <c r="AC16" i="3"/>
  <c r="AC50" i="3" s="1"/>
  <c r="AB16" i="3"/>
  <c r="AB50" i="3" s="1"/>
  <c r="AA16" i="3"/>
  <c r="AA50" i="3" s="1"/>
  <c r="Z16" i="3"/>
  <c r="Z50" i="3" s="1"/>
  <c r="Y16" i="3"/>
  <c r="Y55" i="3" s="1"/>
  <c r="W16" i="3"/>
  <c r="W55" i="3" s="1"/>
  <c r="V16" i="3"/>
  <c r="V26" i="3" s="1"/>
  <c r="U16" i="3"/>
  <c r="U50" i="3" s="1"/>
  <c r="T16" i="3"/>
  <c r="T50" i="3" s="1"/>
  <c r="S16" i="3"/>
  <c r="S50" i="3" s="1"/>
  <c r="R16" i="3"/>
  <c r="Q16" i="3"/>
  <c r="Q55" i="3" s="1"/>
  <c r="P16" i="3"/>
  <c r="P26" i="3" s="1"/>
  <c r="O16" i="3"/>
  <c r="O55" i="3" s="1"/>
  <c r="N16" i="3"/>
  <c r="N26" i="3" s="1"/>
  <c r="X15" i="3"/>
  <c r="X16" i="3" s="1"/>
  <c r="W15" i="3"/>
  <c r="L8" i="3"/>
  <c r="L9" i="3" s="1"/>
  <c r="L10" i="3" s="1"/>
  <c r="C7" i="3"/>
  <c r="B78" i="1"/>
  <c r="B75" i="1"/>
  <c r="B71" i="1"/>
  <c r="B70" i="1"/>
  <c r="B69" i="1"/>
  <c r="B67" i="1"/>
  <c r="B59" i="1"/>
  <c r="B60" i="1" s="1"/>
  <c r="B61" i="1" s="1"/>
  <c r="B62" i="1" s="1"/>
  <c r="B63" i="1" s="1"/>
  <c r="E56" i="1"/>
  <c r="B56" i="1"/>
  <c r="E52" i="1"/>
  <c r="E50" i="1"/>
  <c r="C8" i="9" s="1"/>
  <c r="B49" i="1"/>
  <c r="B46" i="1"/>
  <c r="E44" i="1"/>
  <c r="B40" i="1"/>
  <c r="B38" i="1"/>
  <c r="B39" i="1" s="1"/>
  <c r="C35" i="1"/>
  <c r="B35" i="1"/>
  <c r="B34" i="1"/>
  <c r="C33" i="1"/>
  <c r="B33" i="1"/>
  <c r="B32" i="1"/>
  <c r="C31" i="1"/>
  <c r="B31" i="1"/>
  <c r="B30" i="1"/>
  <c r="E53" i="1" s="1"/>
  <c r="D29" i="1"/>
  <c r="AA7" i="4" s="1"/>
  <c r="B29" i="1"/>
  <c r="AI7" i="4" s="1"/>
  <c r="H28" i="1"/>
  <c r="E28" i="1"/>
  <c r="D28" i="1"/>
  <c r="D32" i="1" s="1"/>
  <c r="C28" i="1"/>
  <c r="F50" i="1" s="1"/>
  <c r="F51" i="1" s="1"/>
  <c r="B28" i="1"/>
  <c r="B47" i="1" s="1"/>
  <c r="D25" i="1"/>
  <c r="C25" i="1"/>
  <c r="B25" i="1"/>
  <c r="G24" i="1"/>
  <c r="F24" i="1"/>
  <c r="E24" i="1"/>
  <c r="D24" i="1"/>
  <c r="C24" i="1"/>
  <c r="F22" i="1"/>
  <c r="E22" i="1"/>
  <c r="E57" i="1" s="1"/>
  <c r="D22" i="1"/>
  <c r="E55" i="1" s="1"/>
  <c r="C22" i="1"/>
  <c r="E47" i="1" s="1"/>
  <c r="B22" i="1"/>
  <c r="E49" i="1" s="1"/>
  <c r="B21" i="1"/>
  <c r="C34" i="1" s="1"/>
  <c r="B20" i="1"/>
  <c r="C19" i="1"/>
  <c r="G10" i="9" s="1"/>
  <c r="B19" i="1"/>
  <c r="E10" i="9" s="1"/>
  <c r="B15" i="1"/>
  <c r="C14" i="1"/>
  <c r="B14" i="1"/>
  <c r="B13" i="1"/>
  <c r="D7" i="1"/>
  <c r="C6" i="1"/>
  <c r="EN10" i="4" l="1"/>
  <c r="EN11" i="4" s="1"/>
  <c r="BD22" i="4"/>
  <c r="EN58" i="4"/>
  <c r="BI12" i="4"/>
  <c r="AQ9" i="6" s="1"/>
  <c r="DL20" i="4"/>
  <c r="EH16" i="4"/>
  <c r="EH20" i="4" s="1"/>
  <c r="DS38" i="4"/>
  <c r="CT12" i="4"/>
  <c r="DY20" i="4"/>
  <c r="ES20" i="4"/>
  <c r="DJ61" i="4"/>
  <c r="DG59" i="4"/>
  <c r="BV20" i="4"/>
  <c r="DN20" i="4"/>
  <c r="ED38" i="4"/>
  <c r="DH11" i="4"/>
  <c r="DS59" i="4"/>
  <c r="EE11" i="4"/>
  <c r="BS12" i="4"/>
  <c r="BA9" i="6" s="1"/>
  <c r="CB20" i="4"/>
  <c r="DF20" i="4"/>
  <c r="DO20" i="4"/>
  <c r="EB20" i="4"/>
  <c r="CF22" i="4"/>
  <c r="EH32" i="4"/>
  <c r="EH38" i="4" s="1"/>
  <c r="EE38" i="4"/>
  <c r="DR43" i="4"/>
  <c r="CZ50" i="4"/>
  <c r="EH56" i="4"/>
  <c r="EH58" i="4" s="1"/>
  <c r="DI58" i="4"/>
  <c r="ES58" i="4"/>
  <c r="DN22" i="4"/>
  <c r="DN23" i="4" s="1"/>
  <c r="DU20" i="4"/>
  <c r="EQ20" i="4"/>
  <c r="EQ22" i="4" s="1"/>
  <c r="ER20" i="4"/>
  <c r="BM12" i="4"/>
  <c r="AU9" i="6" s="1"/>
  <c r="BP20" i="4"/>
  <c r="EJ20" i="4"/>
  <c r="DJ32" i="4"/>
  <c r="DV56" i="4"/>
  <c r="DR11" i="4"/>
  <c r="CV12" i="4"/>
  <c r="DD16" i="4"/>
  <c r="DD20" i="4" s="1"/>
  <c r="DZ20" i="4"/>
  <c r="DZ22" i="4" s="1"/>
  <c r="EK20" i="4"/>
  <c r="DJ47" i="4"/>
  <c r="DJ50" i="4" s="1"/>
  <c r="EM58" i="4"/>
  <c r="DJ11" i="4"/>
  <c r="DJ12" i="4" s="1"/>
  <c r="CJ9" i="6" s="1"/>
  <c r="EF11" i="4"/>
  <c r="EP11" i="4"/>
  <c r="CP22" i="4"/>
  <c r="CH20" i="4"/>
  <c r="DR20" i="4"/>
  <c r="ED20" i="4"/>
  <c r="ED22" i="4" s="1"/>
  <c r="EM20" i="4"/>
  <c r="EM22" i="4" s="1"/>
  <c r="ES38" i="4"/>
  <c r="CB43" i="4"/>
  <c r="DA50" i="4"/>
  <c r="CZ59" i="4"/>
  <c r="DL11" i="4"/>
  <c r="DL12" i="4" s="1"/>
  <c r="CL9" i="6" s="1"/>
  <c r="CQ22" i="4"/>
  <c r="DI11" i="4"/>
  <c r="DI12" i="4" s="1"/>
  <c r="CI9" i="6" s="1"/>
  <c r="AZ12" i="4"/>
  <c r="AH9" i="6" s="1"/>
  <c r="CF12" i="4"/>
  <c r="BN9" i="6" s="1"/>
  <c r="CN20" i="4"/>
  <c r="EE20" i="4"/>
  <c r="EN20" i="4"/>
  <c r="DH38" i="4"/>
  <c r="EK43" i="4"/>
  <c r="DD47" i="4"/>
  <c r="DB50" i="4"/>
  <c r="DF58" i="4"/>
  <c r="DR58" i="4"/>
  <c r="BJ58" i="4"/>
  <c r="DF65" i="4"/>
  <c r="EB58" i="4"/>
  <c r="EB59" i="4" s="1"/>
  <c r="BD65" i="4"/>
  <c r="DG65" i="4"/>
  <c r="AF18" i="17"/>
  <c r="L49" i="17"/>
  <c r="T49" i="17"/>
  <c r="AB49" i="17"/>
  <c r="AG14" i="17"/>
  <c r="AG24" i="17" s="1"/>
  <c r="M24" i="17"/>
  <c r="U24" i="17"/>
  <c r="AG36" i="17"/>
  <c r="M49" i="17"/>
  <c r="U49" i="17"/>
  <c r="AC49" i="17"/>
  <c r="AF48" i="17"/>
  <c r="AH14" i="17"/>
  <c r="AH24" i="17" s="1"/>
  <c r="N24" i="17"/>
  <c r="V24" i="17"/>
  <c r="AD24" i="17"/>
  <c r="AH36" i="17"/>
  <c r="N49" i="17"/>
  <c r="V49" i="17"/>
  <c r="AG48" i="17"/>
  <c r="AE14" i="17"/>
  <c r="AE24" i="17" s="1"/>
  <c r="O24" i="17"/>
  <c r="AE36" i="17"/>
  <c r="AH48" i="17"/>
  <c r="AF14" i="17"/>
  <c r="Z26" i="16"/>
  <c r="AO21" i="16"/>
  <c r="AO23" i="16"/>
  <c r="AO35" i="16"/>
  <c r="W59" i="16"/>
  <c r="AG59" i="16"/>
  <c r="Z55" i="16"/>
  <c r="H59" i="16"/>
  <c r="AB59" i="16"/>
  <c r="F39" i="16"/>
  <c r="AO30" i="16"/>
  <c r="AL49" i="16"/>
  <c r="AO46" i="16"/>
  <c r="AO48" i="16"/>
  <c r="K55" i="16"/>
  <c r="AJ55" i="16"/>
  <c r="AA59" i="16"/>
  <c r="AI59" i="16"/>
  <c r="I59" i="16"/>
  <c r="AO54" i="16"/>
  <c r="AO20" i="16"/>
  <c r="S59" i="16"/>
  <c r="Z49" i="16"/>
  <c r="AO45" i="16"/>
  <c r="P55" i="16"/>
  <c r="AN55" i="16"/>
  <c r="AO57" i="16"/>
  <c r="AM39" i="16"/>
  <c r="AK55" i="16"/>
  <c r="Q22" i="15"/>
  <c r="AK25" i="15"/>
  <c r="G13" i="14"/>
  <c r="L8" i="14"/>
  <c r="AN8" i="14"/>
  <c r="V8" i="14"/>
  <c r="AL8" i="14"/>
  <c r="AP10" i="13"/>
  <c r="AP21" i="12"/>
  <c r="AN38" i="12"/>
  <c r="AN39" i="12" s="1"/>
  <c r="AO38" i="12"/>
  <c r="AO39" i="12" s="1"/>
  <c r="AL19" i="12"/>
  <c r="AP25" i="12"/>
  <c r="AM38" i="12"/>
  <c r="AM39" i="12" s="1"/>
  <c r="AO22" i="12"/>
  <c r="AO23" i="12" s="1"/>
  <c r="AN29" i="12"/>
  <c r="AN30" i="12" s="1"/>
  <c r="AB18" i="11"/>
  <c r="AC47" i="11"/>
  <c r="AM47" i="11"/>
  <c r="AM48" i="11" s="1"/>
  <c r="AP46" i="11"/>
  <c r="H57" i="11"/>
  <c r="P57" i="11"/>
  <c r="O57" i="11"/>
  <c r="C18" i="11"/>
  <c r="K18" i="11"/>
  <c r="T18" i="11"/>
  <c r="AD47" i="11"/>
  <c r="AD48" i="11" s="1"/>
  <c r="AM55" i="11"/>
  <c r="C58" i="11"/>
  <c r="I18" i="11"/>
  <c r="I23" i="11" s="1"/>
  <c r="I27" i="11" s="1"/>
  <c r="I31" i="11" s="1"/>
  <c r="AE47" i="11"/>
  <c r="AN55" i="11"/>
  <c r="AP29" i="11"/>
  <c r="Y48" i="11"/>
  <c r="AK52" i="11"/>
  <c r="AF64" i="11"/>
  <c r="AP64" i="11"/>
  <c r="AP54" i="11"/>
  <c r="AA16" i="11"/>
  <c r="AF53" i="11"/>
  <c r="N58" i="11"/>
  <c r="N62" i="11"/>
  <c r="AF8" i="11"/>
  <c r="AD18" i="11"/>
  <c r="AD19" i="11" s="1"/>
  <c r="AP15" i="11"/>
  <c r="Z18" i="11"/>
  <c r="Z23" i="11" s="1"/>
  <c r="Z27" i="11" s="1"/>
  <c r="Z31" i="11" s="1"/>
  <c r="AP44" i="11"/>
  <c r="AO47" i="11"/>
  <c r="T57" i="11"/>
  <c r="AM57" i="11"/>
  <c r="E18" i="11"/>
  <c r="M18" i="11"/>
  <c r="AG18" i="11"/>
  <c r="M9" i="11"/>
  <c r="AF16" i="11"/>
  <c r="AJ18" i="11"/>
  <c r="AJ23" i="11" s="1"/>
  <c r="AJ27" i="11" s="1"/>
  <c r="AJ31" i="11" s="1"/>
  <c r="AH18" i="11"/>
  <c r="AH23" i="11" s="1"/>
  <c r="AH27" i="11" s="1"/>
  <c r="AH31" i="11" s="1"/>
  <c r="AD55" i="11"/>
  <c r="AP53" i="11"/>
  <c r="S58" i="11"/>
  <c r="Q47" i="11"/>
  <c r="AI18" i="11"/>
  <c r="AI19" i="11" s="1"/>
  <c r="AP25" i="11"/>
  <c r="F48" i="11"/>
  <c r="AO55" i="11"/>
  <c r="D57" i="11"/>
  <c r="AM8" i="11"/>
  <c r="Y18" i="11"/>
  <c r="S18" i="11"/>
  <c r="B18" i="11"/>
  <c r="B23" i="11" s="1"/>
  <c r="B27" i="11" s="1"/>
  <c r="B31" i="11" s="1"/>
  <c r="AL47" i="11"/>
  <c r="G48" i="11"/>
  <c r="AK53" i="11"/>
  <c r="AP13" i="11"/>
  <c r="J18" i="11"/>
  <c r="H48" i="11"/>
  <c r="L57" i="11"/>
  <c r="L58" i="11" s="1"/>
  <c r="L9" i="11"/>
  <c r="AF54" i="11"/>
  <c r="V8" i="11"/>
  <c r="AN16" i="11"/>
  <c r="D18" i="11"/>
  <c r="AD57" i="11"/>
  <c r="I48" i="11"/>
  <c r="AF60" i="11"/>
  <c r="AP60" i="11"/>
  <c r="DP12" i="4"/>
  <c r="CP9" i="6" s="1"/>
  <c r="EA12" i="4"/>
  <c r="AC62" i="3"/>
  <c r="Q29" i="4"/>
  <c r="W29" i="4"/>
  <c r="DB12" i="4"/>
  <c r="CB9" i="6" s="1"/>
  <c r="EJ22" i="4"/>
  <c r="EJ12" i="4"/>
  <c r="ES22" i="4"/>
  <c r="ES12" i="4"/>
  <c r="CS37" i="4"/>
  <c r="CS34" i="4"/>
  <c r="CS42" i="4"/>
  <c r="BD23" i="4"/>
  <c r="BD28" i="4"/>
  <c r="V62" i="3"/>
  <c r="V57" i="3"/>
  <c r="X55" i="3"/>
  <c r="X50" i="3"/>
  <c r="X26" i="3"/>
  <c r="AD62" i="3"/>
  <c r="AD57" i="3"/>
  <c r="DC12" i="4"/>
  <c r="CC9" i="6" s="1"/>
  <c r="DC22" i="4"/>
  <c r="DZ12" i="4"/>
  <c r="EK22" i="4"/>
  <c r="EK12" i="4"/>
  <c r="CT34" i="4"/>
  <c r="CT42" i="4"/>
  <c r="CT37" i="4"/>
  <c r="N57" i="3"/>
  <c r="CV28" i="4"/>
  <c r="CV30" i="4" s="1"/>
  <c r="CV23" i="4"/>
  <c r="E68" i="3"/>
  <c r="DR22" i="4"/>
  <c r="DR12" i="4"/>
  <c r="L70" i="3"/>
  <c r="L71" i="3" s="1"/>
  <c r="L72" i="3" s="1"/>
  <c r="L73" i="3" s="1"/>
  <c r="L74" i="3" s="1"/>
  <c r="L75" i="3" s="1"/>
  <c r="L76" i="3" s="1"/>
  <c r="E69" i="3"/>
  <c r="P57" i="3"/>
  <c r="P62" i="3"/>
  <c r="DH22" i="4"/>
  <c r="DH12" i="4"/>
  <c r="CH9" i="6" s="1"/>
  <c r="EE12" i="4"/>
  <c r="EE22" i="4"/>
  <c r="E48" i="1"/>
  <c r="G45" i="1"/>
  <c r="DJ22" i="4"/>
  <c r="EF12" i="4"/>
  <c r="EF22" i="4"/>
  <c r="EP12" i="4"/>
  <c r="EP22" i="4"/>
  <c r="CP28" i="4"/>
  <c r="CP30" i="4" s="1"/>
  <c r="CP23" i="4"/>
  <c r="C45" i="1"/>
  <c r="B45" i="1"/>
  <c r="DV11" i="4"/>
  <c r="CQ23" i="4"/>
  <c r="CQ28" i="4"/>
  <c r="CQ30" i="4" s="1"/>
  <c r="E10" i="3"/>
  <c r="L11" i="3"/>
  <c r="R57" i="3"/>
  <c r="R62" i="3"/>
  <c r="Z57" i="3"/>
  <c r="Z62" i="3"/>
  <c r="DM12" i="4"/>
  <c r="CM9" i="6" s="1"/>
  <c r="DM22" i="4"/>
  <c r="AL41" i="12"/>
  <c r="AZ28" i="4"/>
  <c r="AZ23" i="4"/>
  <c r="B44" i="1"/>
  <c r="B48" i="1"/>
  <c r="C46" i="1" s="1"/>
  <c r="B51" i="1"/>
  <c r="O26" i="3"/>
  <c r="W26" i="3"/>
  <c r="AE26" i="3"/>
  <c r="S48" i="3"/>
  <c r="AA48" i="3"/>
  <c r="N50" i="3"/>
  <c r="V50" i="3"/>
  <c r="AD50" i="3"/>
  <c r="P55" i="3"/>
  <c r="W59" i="3"/>
  <c r="AE59" i="3"/>
  <c r="C72" i="3"/>
  <c r="Q7" i="4"/>
  <c r="AG7" i="4"/>
  <c r="DD9" i="4"/>
  <c r="DD11" i="4" s="1"/>
  <c r="AO9" i="12"/>
  <c r="AK8" i="6"/>
  <c r="AK24" i="6" s="1"/>
  <c r="AK25" i="6" s="1"/>
  <c r="BV11" i="4"/>
  <c r="DU11" i="4"/>
  <c r="CR12" i="4"/>
  <c r="DN12" i="4"/>
  <c r="CN9" i="6" s="1"/>
  <c r="EG12" i="4"/>
  <c r="EQ12" i="4"/>
  <c r="DV16" i="4"/>
  <c r="DV20" i="4" s="1"/>
  <c r="CT23" i="4"/>
  <c r="BD38" i="4"/>
  <c r="DA43" i="4"/>
  <c r="DA38" i="4"/>
  <c r="DL43" i="4"/>
  <c r="DL38" i="4"/>
  <c r="DU38" i="4"/>
  <c r="DV32" i="4"/>
  <c r="DT38" i="4"/>
  <c r="DT59" i="4"/>
  <c r="AC48" i="3"/>
  <c r="Y62" i="3"/>
  <c r="C7" i="1"/>
  <c r="D19" i="1"/>
  <c r="E32" i="1" s="1"/>
  <c r="C30" i="1"/>
  <c r="E51" i="1"/>
  <c r="G55" i="1"/>
  <c r="T48" i="3"/>
  <c r="O50" i="3"/>
  <c r="W50" i="3"/>
  <c r="AE50" i="3"/>
  <c r="U57" i="3"/>
  <c r="AC57" i="3"/>
  <c r="O59" i="3"/>
  <c r="C65" i="3"/>
  <c r="C69" i="3"/>
  <c r="E72" i="3"/>
  <c r="CS12" i="4"/>
  <c r="DX20" i="4"/>
  <c r="EA20" i="4"/>
  <c r="EA22" i="4" s="1"/>
  <c r="BX22" i="4"/>
  <c r="DZ59" i="4"/>
  <c r="U48" i="3"/>
  <c r="U62" i="3" s="1"/>
  <c r="AN8" i="6"/>
  <c r="BF22" i="4"/>
  <c r="C11" i="3"/>
  <c r="N48" i="3"/>
  <c r="N62" i="3" s="1"/>
  <c r="V48" i="3"/>
  <c r="AD48" i="3"/>
  <c r="Z59" i="3"/>
  <c r="U61" i="3"/>
  <c r="Q62" i="3"/>
  <c r="C67" i="3"/>
  <c r="C73" i="3"/>
  <c r="E76" i="3"/>
  <c r="ET9" i="4"/>
  <c r="ET11" i="4" s="1"/>
  <c r="AO8" i="6"/>
  <c r="AO24" i="6" s="1"/>
  <c r="AO25" i="6" s="1"/>
  <c r="BG22" i="4"/>
  <c r="AX8" i="6"/>
  <c r="AX24" i="6" s="1"/>
  <c r="AX25" i="6" s="1"/>
  <c r="BP22" i="4"/>
  <c r="BZ22" i="4"/>
  <c r="BH8" i="6"/>
  <c r="BH24" i="6" s="1"/>
  <c r="BH25" i="6" s="1"/>
  <c r="BR8" i="6"/>
  <c r="BR24" i="6" s="1"/>
  <c r="BR25" i="6" s="1"/>
  <c r="CJ22" i="4"/>
  <c r="DF22" i="4"/>
  <c r="DO22" i="4"/>
  <c r="DY22" i="4"/>
  <c r="EH22" i="4"/>
  <c r="ER22" i="4"/>
  <c r="DP16" i="4"/>
  <c r="DP20" i="4" s="1"/>
  <c r="DP22" i="4" s="1"/>
  <c r="CF28" i="4"/>
  <c r="CF23" i="4"/>
  <c r="EJ59" i="4"/>
  <c r="P7" i="8"/>
  <c r="AD7" i="8"/>
  <c r="T7" i="8"/>
  <c r="D7" i="8"/>
  <c r="J7" i="8"/>
  <c r="T7" i="7"/>
  <c r="C7" i="7"/>
  <c r="Z7" i="8"/>
  <c r="I7" i="7"/>
  <c r="I7" i="6"/>
  <c r="U7" i="6"/>
  <c r="C7" i="6"/>
  <c r="P7" i="7"/>
  <c r="O7" i="6"/>
  <c r="D31" i="1"/>
  <c r="G44" i="1"/>
  <c r="E46" i="1"/>
  <c r="B57" i="1"/>
  <c r="B68" i="1"/>
  <c r="S26" i="3"/>
  <c r="AA26" i="3"/>
  <c r="R50" i="3"/>
  <c r="U55" i="3"/>
  <c r="AC55" i="3"/>
  <c r="R59" i="3"/>
  <c r="E67" i="3"/>
  <c r="E73" i="3"/>
  <c r="I7" i="4"/>
  <c r="EB9" i="4"/>
  <c r="EB11" i="4" s="1"/>
  <c r="AP8" i="6"/>
  <c r="AP24" i="6" s="1"/>
  <c r="AP25" i="6" s="1"/>
  <c r="BH22" i="4"/>
  <c r="AZ8" i="6"/>
  <c r="AZ24" i="6" s="1"/>
  <c r="AZ25" i="6" s="1"/>
  <c r="BR22" i="4"/>
  <c r="BI8" i="6"/>
  <c r="BI24" i="6" s="1"/>
  <c r="BI25" i="6" s="1"/>
  <c r="CA22" i="4"/>
  <c r="CK28" i="4"/>
  <c r="DG11" i="4"/>
  <c r="ET16" i="4"/>
  <c r="ET20" i="4" s="1"/>
  <c r="BI22" i="4"/>
  <c r="CG22" i="4"/>
  <c r="EL59" i="4"/>
  <c r="E56" i="4"/>
  <c r="E49" i="4"/>
  <c r="E47" i="4"/>
  <c r="E76" i="4" s="1"/>
  <c r="E62" i="4"/>
  <c r="E57" i="4"/>
  <c r="E64" i="4"/>
  <c r="E61" i="4"/>
  <c r="E63" i="4"/>
  <c r="E50" i="4"/>
  <c r="E26" i="4"/>
  <c r="E19" i="4"/>
  <c r="E38" i="4"/>
  <c r="E32" i="4"/>
  <c r="AW8" i="6"/>
  <c r="AW24" i="6" s="1"/>
  <c r="AW25" i="6" s="1"/>
  <c r="BO22" i="4"/>
  <c r="CH11" i="4"/>
  <c r="DX22" i="4"/>
  <c r="DP47" i="4"/>
  <c r="DP50" i="4" s="1"/>
  <c r="DO50" i="4"/>
  <c r="C29" i="1"/>
  <c r="F47" i="1" s="1"/>
  <c r="E31" i="1"/>
  <c r="C38" i="1"/>
  <c r="C39" i="1" s="1"/>
  <c r="C40" i="1"/>
  <c r="B50" i="1"/>
  <c r="B55" i="1"/>
  <c r="C10" i="3"/>
  <c r="T26" i="3"/>
  <c r="AB26" i="3"/>
  <c r="V55" i="3"/>
  <c r="AD55" i="3"/>
  <c r="S59" i="3"/>
  <c r="C71" i="3"/>
  <c r="K7" i="4"/>
  <c r="AL9" i="12"/>
  <c r="AH8" i="6"/>
  <c r="CB11" i="4"/>
  <c r="ED12" i="4"/>
  <c r="EM12" i="4"/>
  <c r="CZ20" i="4"/>
  <c r="DI20" i="4"/>
  <c r="DS20" i="4"/>
  <c r="DS22" i="4" s="1"/>
  <c r="EL20" i="4"/>
  <c r="EL22" i="4" s="1"/>
  <c r="BM22" i="4"/>
  <c r="CL22" i="4"/>
  <c r="CK23" i="4"/>
  <c r="EM43" i="4"/>
  <c r="EM38" i="4"/>
  <c r="EN43" i="4"/>
  <c r="DB59" i="4"/>
  <c r="DN59" i="4"/>
  <c r="DY59" i="4"/>
  <c r="EH59" i="4"/>
  <c r="ET59" i="4"/>
  <c r="DF66" i="4"/>
  <c r="BP35" i="7"/>
  <c r="BP36" i="7"/>
  <c r="C76" i="3"/>
  <c r="N7" i="8"/>
  <c r="X7" i="8"/>
  <c r="H7" i="8"/>
  <c r="AH7" i="8"/>
  <c r="R7" i="7"/>
  <c r="V7" i="7"/>
  <c r="Y7" i="6"/>
  <c r="G7" i="6"/>
  <c r="S7" i="6"/>
  <c r="G7" i="7"/>
  <c r="M7" i="6"/>
  <c r="M7" i="7"/>
  <c r="D7" i="10"/>
  <c r="N55" i="3"/>
  <c r="C68" i="3"/>
  <c r="E71" i="3"/>
  <c r="AC7" i="4"/>
  <c r="E9" i="4"/>
  <c r="BJ66" i="4"/>
  <c r="BJ59" i="4"/>
  <c r="E10" i="4"/>
  <c r="AM9" i="12"/>
  <c r="AI8" i="6"/>
  <c r="AI24" i="6" s="1"/>
  <c r="AI25" i="6" s="1"/>
  <c r="BA22" i="4"/>
  <c r="BJ11" i="4"/>
  <c r="BB8" i="6"/>
  <c r="BB24" i="6" s="1"/>
  <c r="BB25" i="6" s="1"/>
  <c r="BT22" i="4"/>
  <c r="BL8" i="6"/>
  <c r="BL24" i="6" s="1"/>
  <c r="BL25" i="6" s="1"/>
  <c r="CD22" i="4"/>
  <c r="BU8" i="6"/>
  <c r="BU24" i="6" s="1"/>
  <c r="BU25" i="6" s="1"/>
  <c r="CM22" i="4"/>
  <c r="CZ22" i="4"/>
  <c r="DI22" i="4"/>
  <c r="DA20" i="4"/>
  <c r="DA22" i="4" s="1"/>
  <c r="DJ20" i="4"/>
  <c r="DT20" i="4"/>
  <c r="DT22" i="4" s="1"/>
  <c r="E18" i="4"/>
  <c r="BN22" i="4"/>
  <c r="CR28" i="4"/>
  <c r="CR30" i="4" s="1"/>
  <c r="EG28" i="4"/>
  <c r="EG30" i="4" s="1"/>
  <c r="BP59" i="4"/>
  <c r="DC58" i="4"/>
  <c r="DC59" i="4" s="1"/>
  <c r="DD56" i="4"/>
  <c r="DD58" i="4" s="1"/>
  <c r="DD59" i="4" s="1"/>
  <c r="DO58" i="4"/>
  <c r="DO59" i="4" s="1"/>
  <c r="DP56" i="4"/>
  <c r="DP58" i="4" s="1"/>
  <c r="DP59" i="4" s="1"/>
  <c r="DI59" i="4"/>
  <c r="ES59" i="4"/>
  <c r="BD66" i="4"/>
  <c r="DG66" i="4"/>
  <c r="AY53" i="7"/>
  <c r="BG8" i="6"/>
  <c r="BG24" i="6" s="1"/>
  <c r="BG25" i="6" s="1"/>
  <c r="BY22" i="4"/>
  <c r="AO41" i="12"/>
  <c r="BC28" i="4"/>
  <c r="DN28" i="4"/>
  <c r="DN30" i="4" s="1"/>
  <c r="C21" i="1"/>
  <c r="C32" i="1"/>
  <c r="E45" i="1"/>
  <c r="O7" i="4"/>
  <c r="AN9" i="12"/>
  <c r="AJ8" i="6"/>
  <c r="AJ24" i="6" s="1"/>
  <c r="AJ25" i="6" s="1"/>
  <c r="BB22" i="4"/>
  <c r="AT8" i="6"/>
  <c r="BL22" i="4"/>
  <c r="BC8" i="6"/>
  <c r="BC24" i="6" s="1"/>
  <c r="BC25" i="6" s="1"/>
  <c r="BU22" i="4"/>
  <c r="BM8" i="6"/>
  <c r="BM24" i="6" s="1"/>
  <c r="BM25" i="6" s="1"/>
  <c r="CE22" i="4"/>
  <c r="CN11" i="4"/>
  <c r="BD12" i="4"/>
  <c r="AL9" i="6" s="1"/>
  <c r="BN12" i="4"/>
  <c r="AV9" i="6" s="1"/>
  <c r="BX12" i="4"/>
  <c r="BF9" i="6" s="1"/>
  <c r="CG12" i="4"/>
  <c r="BO9" i="6" s="1"/>
  <c r="CQ12" i="4"/>
  <c r="E16" i="4"/>
  <c r="BJ20" i="4"/>
  <c r="DB20" i="4"/>
  <c r="DB22" i="4" s="1"/>
  <c r="E17" i="4"/>
  <c r="BS22" i="4"/>
  <c r="CS23" i="4"/>
  <c r="DJ43" i="4"/>
  <c r="DJ38" i="4"/>
  <c r="BJ38" i="4"/>
  <c r="DH66" i="4"/>
  <c r="CZ66" i="4"/>
  <c r="BK53" i="7"/>
  <c r="BK54" i="7" s="1"/>
  <c r="CZ27" i="7"/>
  <c r="BB27" i="7"/>
  <c r="DB27" i="7" s="1"/>
  <c r="ET32" i="4"/>
  <c r="BP38" i="4"/>
  <c r="DF38" i="4"/>
  <c r="DO38" i="4"/>
  <c r="DZ38" i="4"/>
  <c r="EL38" i="4"/>
  <c r="CH43" i="4"/>
  <c r="EG43" i="4"/>
  <c r="DL59" i="4"/>
  <c r="DV58" i="4"/>
  <c r="DV59" i="4" s="1"/>
  <c r="EF59" i="4"/>
  <c r="EQ59" i="4"/>
  <c r="EM59" i="4"/>
  <c r="DI66" i="4"/>
  <c r="BJ22" i="6"/>
  <c r="EB32" i="4"/>
  <c r="DG38" i="4"/>
  <c r="EH43" i="4"/>
  <c r="BD59" i="4"/>
  <c r="DM59" i="4"/>
  <c r="DX59" i="4"/>
  <c r="EG59" i="4"/>
  <c r="ER59" i="4"/>
  <c r="BV59" i="4"/>
  <c r="CI22" i="6"/>
  <c r="CJ12" i="6"/>
  <c r="CJ22" i="6" s="1"/>
  <c r="DM19" i="7"/>
  <c r="DM15" i="7"/>
  <c r="DM18" i="7" s="1"/>
  <c r="BZ13" i="7"/>
  <c r="AD13" i="7"/>
  <c r="CA13" i="7"/>
  <c r="CC13" i="7"/>
  <c r="CD13" i="7" s="1"/>
  <c r="CB13" i="7"/>
  <c r="CN38" i="4"/>
  <c r="EF38" i="4"/>
  <c r="DX43" i="4"/>
  <c r="DF59" i="4"/>
  <c r="DR59" i="4"/>
  <c r="EA58" i="4"/>
  <c r="EA59" i="4" s="1"/>
  <c r="EK59" i="4"/>
  <c r="AO53" i="7"/>
  <c r="BA53" i="7"/>
  <c r="AM15" i="13"/>
  <c r="AM18" i="15"/>
  <c r="AM46" i="12"/>
  <c r="AM56" i="12"/>
  <c r="CB25" i="7"/>
  <c r="AD25" i="7"/>
  <c r="DD32" i="4"/>
  <c r="BV38" i="4"/>
  <c r="BH38" i="7"/>
  <c r="DH38" i="7" s="1"/>
  <c r="CH50" i="4"/>
  <c r="DA59" i="4"/>
  <c r="ED59" i="4"/>
  <c r="AF53" i="7"/>
  <c r="AR53" i="7"/>
  <c r="DA26" i="7"/>
  <c r="CZ26" i="7"/>
  <c r="AJ30" i="15"/>
  <c r="CI38" i="7"/>
  <c r="CJ38" i="7" s="1"/>
  <c r="CU38" i="7"/>
  <c r="CV38" i="7" s="1"/>
  <c r="DC38" i="4"/>
  <c r="DM38" i="4"/>
  <c r="EA43" i="4"/>
  <c r="DH58" i="4"/>
  <c r="DH59" i="4" s="1"/>
  <c r="EN59" i="4"/>
  <c r="CB58" i="4"/>
  <c r="CB59" i="4" s="1"/>
  <c r="DA65" i="4"/>
  <c r="DA66" i="4" s="1"/>
  <c r="DJ65" i="4"/>
  <c r="DJ66" i="4" s="1"/>
  <c r="DC65" i="4"/>
  <c r="DC66" i="4" s="1"/>
  <c r="DD62" i="4"/>
  <c r="DD65" i="4" s="1"/>
  <c r="DD66" i="4" s="1"/>
  <c r="CP22" i="6"/>
  <c r="AO19" i="15"/>
  <c r="AO16" i="13"/>
  <c r="AO47" i="12"/>
  <c r="AO57" i="12"/>
  <c r="EJ38" i="4"/>
  <c r="AD39" i="7"/>
  <c r="AP31" i="15" s="1"/>
  <c r="DD49" i="4"/>
  <c r="DD50" i="4" s="1"/>
  <c r="BD50" i="4"/>
  <c r="CN58" i="4"/>
  <c r="CN59" i="4" s="1"/>
  <c r="DJ58" i="4"/>
  <c r="DJ59" i="4" s="1"/>
  <c r="DU59" i="4"/>
  <c r="EE59" i="4"/>
  <c r="EP59" i="4"/>
  <c r="DB66" i="4"/>
  <c r="CG22" i="6"/>
  <c r="AH53" i="7"/>
  <c r="DQ15" i="7"/>
  <c r="DQ18" i="7" s="1"/>
  <c r="AG53" i="7"/>
  <c r="AZ53" i="7"/>
  <c r="BJ53" i="7"/>
  <c r="CC22" i="6"/>
  <c r="DN19" i="7"/>
  <c r="DN15" i="7"/>
  <c r="DN18" i="7" s="1"/>
  <c r="DN26" i="7"/>
  <c r="DN28" i="7" s="1"/>
  <c r="BN28" i="7"/>
  <c r="Z53" i="7"/>
  <c r="AI53" i="7"/>
  <c r="AI54" i="7" s="1"/>
  <c r="AS53" i="7"/>
  <c r="BL53" i="7"/>
  <c r="BL54" i="7" s="1"/>
  <c r="AJ17" i="15"/>
  <c r="CR24" i="7"/>
  <c r="AV24" i="7"/>
  <c r="CT24" i="7"/>
  <c r="CS24" i="7"/>
  <c r="CU24" i="7"/>
  <c r="CV24" i="7" s="1"/>
  <c r="BH24" i="7"/>
  <c r="DH24" i="7" s="1"/>
  <c r="DG24" i="7"/>
  <c r="DD24" i="7"/>
  <c r="DF24" i="7"/>
  <c r="AG19" i="15"/>
  <c r="AK19" i="15" s="1"/>
  <c r="AJ26" i="7"/>
  <c r="CI26" i="7"/>
  <c r="CJ26" i="7" s="1"/>
  <c r="CF26" i="7"/>
  <c r="CH26" i="7"/>
  <c r="CG26" i="7"/>
  <c r="AA53" i="7"/>
  <c r="AT53" i="7"/>
  <c r="BD53" i="7"/>
  <c r="BM53" i="7"/>
  <c r="BM54" i="7" s="1"/>
  <c r="DE24" i="7"/>
  <c r="DE28" i="7" s="1"/>
  <c r="AI28" i="7"/>
  <c r="AM53" i="7"/>
  <c r="AB53" i="7"/>
  <c r="AB54" i="7" s="1"/>
  <c r="AL53" i="7"/>
  <c r="AU53" i="7"/>
  <c r="AU54" i="7" s="1"/>
  <c r="BE53" i="7"/>
  <c r="BE54" i="7" s="1"/>
  <c r="DJ36" i="7"/>
  <c r="DJ35" i="7"/>
  <c r="DS36" i="7"/>
  <c r="DS35" i="7"/>
  <c r="CT10" i="7"/>
  <c r="CS10" i="7"/>
  <c r="BH10" i="7"/>
  <c r="DH10" i="7" s="1"/>
  <c r="DE10" i="7"/>
  <c r="DD10" i="7"/>
  <c r="DG10" i="7"/>
  <c r="DF10" i="7"/>
  <c r="DJ11" i="7"/>
  <c r="DJ15" i="7" s="1"/>
  <c r="CL22" i="7"/>
  <c r="CL28" i="7" s="1"/>
  <c r="AP22" i="7"/>
  <c r="CN22" i="7"/>
  <c r="CO22" i="7"/>
  <c r="CM22" i="7"/>
  <c r="BB22" i="7"/>
  <c r="AX28" i="7"/>
  <c r="DA22" i="7"/>
  <c r="CX22" i="7"/>
  <c r="CZ22" i="7"/>
  <c r="CY22" i="7"/>
  <c r="DH22" i="7"/>
  <c r="AL28" i="7"/>
  <c r="CA61" i="8"/>
  <c r="CA48" i="8"/>
  <c r="AC53" i="7"/>
  <c r="AC54" i="7" s="1"/>
  <c r="BF53" i="7"/>
  <c r="BF54" i="7" s="1"/>
  <c r="BP25" i="6"/>
  <c r="DK30" i="7"/>
  <c r="DK32" i="7" s="1"/>
  <c r="DK11" i="7"/>
  <c r="DT30" i="7"/>
  <c r="DT32" i="7" s="1"/>
  <c r="DT11" i="7"/>
  <c r="DS11" i="7"/>
  <c r="CU13" i="7"/>
  <c r="CV13" i="7" s="1"/>
  <c r="CT13" i="7"/>
  <c r="AV13" i="7"/>
  <c r="DF13" i="7"/>
  <c r="BH13" i="7"/>
  <c r="DH13" i="7" s="1"/>
  <c r="DG13" i="7"/>
  <c r="DE13" i="7"/>
  <c r="AA28" i="7"/>
  <c r="CU25" i="7"/>
  <c r="CV25" i="7" s="1"/>
  <c r="AV25" i="7"/>
  <c r="BS36" i="7"/>
  <c r="BS35" i="7"/>
  <c r="CM48" i="8"/>
  <c r="CM84" i="8"/>
  <c r="CP41" i="8"/>
  <c r="AX47" i="8"/>
  <c r="CP47" i="8" s="1"/>
  <c r="CH58" i="4"/>
  <c r="CH59" i="4" s="1"/>
  <c r="AN53" i="7"/>
  <c r="AN54" i="7" s="1"/>
  <c r="AX53" i="7"/>
  <c r="BG53" i="7"/>
  <c r="BG54" i="7" s="1"/>
  <c r="AD10" i="7"/>
  <c r="CA10" i="7"/>
  <c r="BZ10" i="7"/>
  <c r="AJ10" i="7"/>
  <c r="AL21" i="15"/>
  <c r="AL59" i="12"/>
  <c r="AD27" i="7"/>
  <c r="CA27" i="7"/>
  <c r="Z28" i="7"/>
  <c r="CC27" i="7"/>
  <c r="CD27" i="7" s="1"/>
  <c r="CB27" i="7"/>
  <c r="DA27" i="7"/>
  <c r="BZ27" i="7"/>
  <c r="BZ28" i="7" s="1"/>
  <c r="BJ36" i="7"/>
  <c r="BJ35" i="7"/>
  <c r="AP10" i="7"/>
  <c r="CU10" i="7"/>
  <c r="CV10" i="7" s="1"/>
  <c r="AP13" i="7"/>
  <c r="CX13" i="7"/>
  <c r="CG23" i="7"/>
  <c r="AN20" i="15"/>
  <c r="AN58" i="12"/>
  <c r="AN48" i="12"/>
  <c r="CT25" i="7"/>
  <c r="AN8" i="11"/>
  <c r="AP5" i="11"/>
  <c r="DR35" i="7"/>
  <c r="DR36" i="7"/>
  <c r="CL10" i="7"/>
  <c r="DR11" i="7"/>
  <c r="CS13" i="7"/>
  <c r="CL13" i="7"/>
  <c r="AT28" i="7"/>
  <c r="AI17" i="15"/>
  <c r="DD25" i="7"/>
  <c r="BH25" i="7"/>
  <c r="DH25" i="7" s="1"/>
  <c r="DF25" i="7"/>
  <c r="BB26" i="7"/>
  <c r="DB26" i="7" s="1"/>
  <c r="BH26" i="7"/>
  <c r="DH26" i="7" s="1"/>
  <c r="AI30" i="15"/>
  <c r="CH38" i="7"/>
  <c r="CT38" i="7"/>
  <c r="CR38" i="7"/>
  <c r="CR39" i="7" s="1"/>
  <c r="AR80" i="8"/>
  <c r="CJ21" i="8"/>
  <c r="CJ80" i="8" s="1"/>
  <c r="DL30" i="7"/>
  <c r="DL32" i="7" s="1"/>
  <c r="DA10" i="7"/>
  <c r="DL11" i="7"/>
  <c r="AN16" i="15"/>
  <c r="AN44" i="12"/>
  <c r="AN54" i="12"/>
  <c r="AY28" i="7"/>
  <c r="DP28" i="7"/>
  <c r="DH23" i="7"/>
  <c r="CS23" i="7"/>
  <c r="CI24" i="7"/>
  <c r="CJ24" i="7" s="1"/>
  <c r="CM25" i="7"/>
  <c r="AM28" i="7"/>
  <c r="BK36" i="7"/>
  <c r="BK35" i="7"/>
  <c r="BT35" i="7"/>
  <c r="BQ36" i="7"/>
  <c r="BQ35" i="7"/>
  <c r="DM30" i="7"/>
  <c r="DM32" i="7" s="1"/>
  <c r="BT36" i="7"/>
  <c r="BN30" i="7"/>
  <c r="BN32" i="7" s="1"/>
  <c r="AV10" i="7"/>
  <c r="CF13" i="7"/>
  <c r="AZ28" i="7"/>
  <c r="CC22" i="7"/>
  <c r="CL24" i="7"/>
  <c r="AO18" i="15"/>
  <c r="AO56" i="12"/>
  <c r="AO46" i="12"/>
  <c r="AO15" i="13"/>
  <c r="BB25" i="7"/>
  <c r="DB25" i="7" s="1"/>
  <c r="DA25" i="7"/>
  <c r="CZ25" i="7"/>
  <c r="CX25" i="7"/>
  <c r="DF26" i="7"/>
  <c r="AS28" i="7"/>
  <c r="BL35" i="7"/>
  <c r="BL36" i="7"/>
  <c r="DN30" i="7"/>
  <c r="DH31" i="7"/>
  <c r="DQ35" i="7"/>
  <c r="CY13" i="7"/>
  <c r="AD22" i="7"/>
  <c r="AO28" i="7"/>
  <c r="BA28" i="7"/>
  <c r="DF28" i="7"/>
  <c r="CZ23" i="7"/>
  <c r="AJ24" i="7"/>
  <c r="CY25" i="7"/>
  <c r="AG21" i="15"/>
  <c r="AK21" i="15" s="1"/>
  <c r="CH27" i="7"/>
  <c r="CG27" i="7"/>
  <c r="CF27" i="7"/>
  <c r="AJ27" i="7"/>
  <c r="CR27" i="7"/>
  <c r="AV27" i="7"/>
  <c r="CT27" i="7"/>
  <c r="CI27" i="7"/>
  <c r="CJ27" i="7" s="1"/>
  <c r="DN31" i="7"/>
  <c r="AX79" i="8"/>
  <c r="AX81" i="8" s="1"/>
  <c r="AX82" i="8" s="1"/>
  <c r="CP9" i="8"/>
  <c r="AX28" i="8"/>
  <c r="DP30" i="7"/>
  <c r="DP32" i="7" s="1"/>
  <c r="DP11" i="7"/>
  <c r="DP15" i="7" s="1"/>
  <c r="CI13" i="7"/>
  <c r="CJ13" i="7" s="1"/>
  <c r="CH13" i="7"/>
  <c r="AG16" i="15"/>
  <c r="AJ22" i="7"/>
  <c r="AF28" i="7"/>
  <c r="CI22" i="7"/>
  <c r="CH22" i="7"/>
  <c r="AR28" i="7"/>
  <c r="CG22" i="7"/>
  <c r="AG17" i="15"/>
  <c r="CF23" i="7"/>
  <c r="CF28" i="7" s="1"/>
  <c r="AJ23" i="7"/>
  <c r="CH23" i="7"/>
  <c r="AV23" i="7"/>
  <c r="CU23" i="7"/>
  <c r="CV23" i="7" s="1"/>
  <c r="CR23" i="7"/>
  <c r="DB23" i="7"/>
  <c r="AM58" i="12"/>
  <c r="AM48" i="12"/>
  <c r="AM20" i="15"/>
  <c r="AD24" i="7"/>
  <c r="AP24" i="7"/>
  <c r="CO24" i="7"/>
  <c r="CP24" i="7" s="1"/>
  <c r="CN24" i="7"/>
  <c r="DA24" i="7"/>
  <c r="DE25" i="7"/>
  <c r="AD26" i="7"/>
  <c r="AP7" i="11"/>
  <c r="AL8" i="11"/>
  <c r="F18" i="11"/>
  <c r="F9" i="11"/>
  <c r="N18" i="11"/>
  <c r="N9" i="11"/>
  <c r="AI23" i="11"/>
  <c r="AI27" i="11" s="1"/>
  <c r="AI31" i="11" s="1"/>
  <c r="BM35" i="7"/>
  <c r="BM36" i="7"/>
  <c r="BR35" i="7"/>
  <c r="AG30" i="15"/>
  <c r="CG38" i="7"/>
  <c r="CT28" i="8"/>
  <c r="CG80" i="8"/>
  <c r="AO16" i="15"/>
  <c r="AO44" i="12"/>
  <c r="AO54" i="12"/>
  <c r="AV22" i="7"/>
  <c r="DG22" i="7"/>
  <c r="AH17" i="15"/>
  <c r="AH22" i="15" s="1"/>
  <c r="AP23" i="7"/>
  <c r="DA23" i="7"/>
  <c r="AL20" i="15"/>
  <c r="AL58" i="12"/>
  <c r="AL48" i="12"/>
  <c r="BB24" i="7"/>
  <c r="DB24" i="7" s="1"/>
  <c r="CA24" i="7"/>
  <c r="AN18" i="15"/>
  <c r="AN15" i="13"/>
  <c r="AN56" i="12"/>
  <c r="AN46" i="12"/>
  <c r="CC25" i="7"/>
  <c r="CD25" i="7" s="1"/>
  <c r="CO26" i="7"/>
  <c r="CP26" i="7" s="1"/>
  <c r="CY26" i="7"/>
  <c r="AP27" i="7"/>
  <c r="BD28" i="7"/>
  <c r="DF61" i="8"/>
  <c r="CS39" i="8"/>
  <c r="AC48" i="11"/>
  <c r="CR22" i="7"/>
  <c r="AM14" i="13"/>
  <c r="AM55" i="12"/>
  <c r="AM17" i="15"/>
  <c r="AP17" i="15" s="1"/>
  <c r="AM45" i="12"/>
  <c r="CB23" i="7"/>
  <c r="CL23" i="7"/>
  <c r="DE23" i="7"/>
  <c r="AO20" i="15"/>
  <c r="AO58" i="12"/>
  <c r="AO48" i="12"/>
  <c r="CX24" i="7"/>
  <c r="AK18" i="15"/>
  <c r="CG25" i="7"/>
  <c r="CS26" i="7"/>
  <c r="AM21" i="15"/>
  <c r="AM59" i="12"/>
  <c r="CX27" i="7"/>
  <c r="AL30" i="15"/>
  <c r="BZ38" i="7"/>
  <c r="BJ28" i="8"/>
  <c r="DB9" i="8"/>
  <c r="DT28" i="8"/>
  <c r="DT12" i="8"/>
  <c r="BF48" i="8"/>
  <c r="BF58" i="8" s="1"/>
  <c r="BF61" i="8"/>
  <c r="BR61" i="8"/>
  <c r="BR48" i="8"/>
  <c r="H19" i="11"/>
  <c r="H23" i="11"/>
  <c r="H27" i="11" s="1"/>
  <c r="H31" i="11" s="1"/>
  <c r="P19" i="11"/>
  <c r="P23" i="11"/>
  <c r="P27" i="11" s="1"/>
  <c r="P31" i="11" s="1"/>
  <c r="C23" i="11"/>
  <c r="C27" i="11" s="1"/>
  <c r="C31" i="11" s="1"/>
  <c r="C19" i="11"/>
  <c r="K23" i="11"/>
  <c r="K27" i="11" s="1"/>
  <c r="K31" i="11" s="1"/>
  <c r="K19" i="11"/>
  <c r="T23" i="11"/>
  <c r="T27" i="11" s="1"/>
  <c r="T31" i="11" s="1"/>
  <c r="T19" i="11"/>
  <c r="J23" i="11"/>
  <c r="J27" i="11" s="1"/>
  <c r="J31" i="11" s="1"/>
  <c r="J19" i="11"/>
  <c r="AI22" i="15"/>
  <c r="CS22" i="7"/>
  <c r="AN17" i="15"/>
  <c r="AN14" i="13"/>
  <c r="AN55" i="12"/>
  <c r="AN45" i="12"/>
  <c r="CC23" i="7"/>
  <c r="CD23" i="7" s="1"/>
  <c r="CM23" i="7"/>
  <c r="DF23" i="7"/>
  <c r="CY24" i="7"/>
  <c r="CH25" i="7"/>
  <c r="CR25" i="7"/>
  <c r="AL19" i="15"/>
  <c r="AL57" i="12"/>
  <c r="AL16" i="13"/>
  <c r="AL47" i="12"/>
  <c r="CA26" i="7"/>
  <c r="DD26" i="7"/>
  <c r="AN21" i="15"/>
  <c r="AN59" i="12"/>
  <c r="CY27" i="7"/>
  <c r="DH47" i="8"/>
  <c r="DB55" i="8"/>
  <c r="DB57" i="8" s="1"/>
  <c r="BJ57" i="8"/>
  <c r="AL16" i="15"/>
  <c r="AL44" i="12"/>
  <c r="AL54" i="12"/>
  <c r="AJ22" i="15"/>
  <c r="CA22" i="7"/>
  <c r="CT22" i="7"/>
  <c r="DD22" i="7"/>
  <c r="AO17" i="15"/>
  <c r="AO45" i="12"/>
  <c r="AP45" i="12" s="1"/>
  <c r="AO14" i="13"/>
  <c r="AO55" i="12"/>
  <c r="CN23" i="7"/>
  <c r="DG23" i="7"/>
  <c r="AK20" i="15"/>
  <c r="CG24" i="7"/>
  <c r="CZ24" i="7"/>
  <c r="CI25" i="7"/>
  <c r="CJ25" i="7" s="1"/>
  <c r="CS25" i="7"/>
  <c r="AM19" i="15"/>
  <c r="AM16" i="13"/>
  <c r="AM47" i="12"/>
  <c r="AM57" i="12"/>
  <c r="CB26" i="7"/>
  <c r="DE26" i="7"/>
  <c r="AO21" i="15"/>
  <c r="AO59" i="12"/>
  <c r="AG28" i="7"/>
  <c r="AL31" i="15"/>
  <c r="BZ39" i="7"/>
  <c r="CB39" i="7"/>
  <c r="CA39" i="7"/>
  <c r="CR61" i="8"/>
  <c r="CR48" i="8"/>
  <c r="DA28" i="8"/>
  <c r="CP12" i="8"/>
  <c r="DT47" i="8"/>
  <c r="BI58" i="8"/>
  <c r="AM16" i="15"/>
  <c r="AM44" i="12"/>
  <c r="AM54" i="12"/>
  <c r="CB22" i="7"/>
  <c r="CU22" i="7"/>
  <c r="AD23" i="7"/>
  <c r="CO23" i="7"/>
  <c r="CP23" i="7" s="1"/>
  <c r="CY23" i="7"/>
  <c r="CH24" i="7"/>
  <c r="AL18" i="15"/>
  <c r="AL46" i="12"/>
  <c r="AL15" i="13"/>
  <c r="AP15" i="13" s="1"/>
  <c r="AL56" i="12"/>
  <c r="CA25" i="7"/>
  <c r="AN19" i="15"/>
  <c r="AN16" i="13"/>
  <c r="AN47" i="12"/>
  <c r="AN57" i="12"/>
  <c r="CC26" i="7"/>
  <c r="CD26" i="7" s="1"/>
  <c r="AH28" i="7"/>
  <c r="AO30" i="15"/>
  <c r="CC38" i="7"/>
  <c r="CD38" i="7" s="1"/>
  <c r="CN38" i="7"/>
  <c r="DG38" i="7"/>
  <c r="DD28" i="8"/>
  <c r="DM28" i="8"/>
  <c r="CP80" i="8"/>
  <c r="CM58" i="8"/>
  <c r="CX57" i="8"/>
  <c r="CA58" i="8"/>
  <c r="AA57" i="11"/>
  <c r="AA48" i="11"/>
  <c r="AJ47" i="11"/>
  <c r="AK44" i="11"/>
  <c r="CZ38" i="7"/>
  <c r="CZ39" i="7" s="1"/>
  <c r="BD28" i="8"/>
  <c r="CS28" i="8"/>
  <c r="DL28" i="8"/>
  <c r="DH12" i="8"/>
  <c r="CH80" i="8"/>
  <c r="BC48" i="8"/>
  <c r="BC58" i="8" s="1"/>
  <c r="BO61" i="8"/>
  <c r="BO48" i="8"/>
  <c r="BO58" i="8" s="1"/>
  <c r="DB30" i="8"/>
  <c r="DB39" i="8" s="1"/>
  <c r="BJ39" i="8"/>
  <c r="DQ39" i="8"/>
  <c r="CV47" i="8"/>
  <c r="DF47" i="8"/>
  <c r="DF48" i="8" s="1"/>
  <c r="DQ47" i="8"/>
  <c r="BV47" i="8"/>
  <c r="DN57" i="8"/>
  <c r="AZ58" i="8"/>
  <c r="BY61" i="8"/>
  <c r="CO69" i="8"/>
  <c r="CN69" i="8"/>
  <c r="CM69" i="8"/>
  <c r="AX69" i="8"/>
  <c r="CP69" i="8" s="1"/>
  <c r="AM9" i="11"/>
  <c r="Y23" i="11"/>
  <c r="Y27" i="11" s="1"/>
  <c r="Y31" i="11" s="1"/>
  <c r="Y19" i="11"/>
  <c r="S23" i="11"/>
  <c r="S27" i="11" s="1"/>
  <c r="S31" i="11" s="1"/>
  <c r="S19" i="11"/>
  <c r="AL48" i="11"/>
  <c r="W62" i="11"/>
  <c r="W58" i="11"/>
  <c r="BP28" i="8"/>
  <c r="CL79" i="8"/>
  <c r="CL28" i="8"/>
  <c r="CU28" i="8"/>
  <c r="DE28" i="8"/>
  <c r="AV48" i="8"/>
  <c r="AV58" i="8" s="1"/>
  <c r="AV84" i="8"/>
  <c r="AV61" i="8"/>
  <c r="DN39" i="8"/>
  <c r="CV39" i="8"/>
  <c r="DG39" i="8"/>
  <c r="DS39" i="8"/>
  <c r="DJ47" i="8"/>
  <c r="DS47" i="8"/>
  <c r="D23" i="11"/>
  <c r="D27" i="11" s="1"/>
  <c r="D31" i="11" s="1"/>
  <c r="D19" i="11"/>
  <c r="L23" i="11"/>
  <c r="L27" i="11" s="1"/>
  <c r="L31" i="11" s="1"/>
  <c r="L19" i="11"/>
  <c r="BV28" i="8"/>
  <c r="CM79" i="8"/>
  <c r="CM81" i="8" s="1"/>
  <c r="CM82" i="8" s="1"/>
  <c r="DB12" i="8"/>
  <c r="CL80" i="8"/>
  <c r="BH61" i="8"/>
  <c r="BH48" i="8"/>
  <c r="BH58" i="8" s="1"/>
  <c r="CN39" i="8"/>
  <c r="CX39" i="8"/>
  <c r="DJ39" i="8"/>
  <c r="CN47" i="8"/>
  <c r="CM47" i="8"/>
  <c r="CM61" i="8" s="1"/>
  <c r="CL47" i="8"/>
  <c r="AR57" i="8"/>
  <c r="CJ54" i="8"/>
  <c r="CJ57" i="8" s="1"/>
  <c r="CR58" i="8"/>
  <c r="DM57" i="8"/>
  <c r="CN28" i="8"/>
  <c r="CX28" i="8"/>
  <c r="DG28" i="8"/>
  <c r="DQ28" i="8"/>
  <c r="BV39" i="8"/>
  <c r="CB47" i="8"/>
  <c r="DL47" i="8"/>
  <c r="AP51" i="11"/>
  <c r="AP55" i="11" s="1"/>
  <c r="AL55" i="11"/>
  <c r="AL57" i="11" s="1"/>
  <c r="CO28" i="8"/>
  <c r="CO79" i="8"/>
  <c r="CO81" i="8" s="1"/>
  <c r="CO82" i="8" s="1"/>
  <c r="CY28" i="8"/>
  <c r="DH28" i="8"/>
  <c r="DR28" i="8"/>
  <c r="DN12" i="8"/>
  <c r="DN28" i="8" s="1"/>
  <c r="AR39" i="8"/>
  <c r="CP39" i="8"/>
  <c r="DL39" i="8"/>
  <c r="BD57" i="8"/>
  <c r="CV54" i="8"/>
  <c r="CV57" i="8" s="1"/>
  <c r="CT57" i="8"/>
  <c r="DQ57" i="8"/>
  <c r="BR58" i="8"/>
  <c r="CN79" i="8"/>
  <c r="CN81" i="8" s="1"/>
  <c r="AB23" i="11"/>
  <c r="AB27" i="11" s="1"/>
  <c r="AB31" i="11" s="1"/>
  <c r="AB19" i="11"/>
  <c r="AG57" i="11"/>
  <c r="AG48" i="11"/>
  <c r="AM62" i="11"/>
  <c r="AM58" i="11"/>
  <c r="CZ28" i="8"/>
  <c r="DJ28" i="8"/>
  <c r="DS28" i="8"/>
  <c r="BX28" i="8"/>
  <c r="CV12" i="8"/>
  <c r="CV28" i="8" s="1"/>
  <c r="DP12" i="8"/>
  <c r="DP28" i="8" s="1"/>
  <c r="CF80" i="8"/>
  <c r="CO80" i="8"/>
  <c r="DP25" i="8"/>
  <c r="DR25" i="8"/>
  <c r="CB25" i="8"/>
  <c r="DT25" i="8" s="1"/>
  <c r="DQ25" i="8"/>
  <c r="BM61" i="8"/>
  <c r="AX39" i="8"/>
  <c r="DN47" i="8"/>
  <c r="DF57" i="8"/>
  <c r="W18" i="11"/>
  <c r="W9" i="11"/>
  <c r="C66" i="11"/>
  <c r="K62" i="11"/>
  <c r="K58" i="11"/>
  <c r="BZ63" i="8"/>
  <c r="CG47" i="8"/>
  <c r="AV82" i="8"/>
  <c r="I43" i="9"/>
  <c r="J43" i="9" s="1"/>
  <c r="Q9" i="11"/>
  <c r="AO9" i="11"/>
  <c r="G18" i="11"/>
  <c r="G9" i="11"/>
  <c r="O18" i="11"/>
  <c r="O9" i="11"/>
  <c r="AC9" i="11"/>
  <c r="AH19" i="11"/>
  <c r="AF44" i="11"/>
  <c r="AF47" i="11" s="1"/>
  <c r="AB47" i="11"/>
  <c r="DK25" i="8"/>
  <c r="DK28" i="8" s="1"/>
  <c r="BS63" i="8"/>
  <c r="BP39" i="8"/>
  <c r="BD47" i="8"/>
  <c r="AT48" i="8"/>
  <c r="AT58" i="8" s="1"/>
  <c r="BM48" i="8"/>
  <c r="BV57" i="8"/>
  <c r="AL16" i="11"/>
  <c r="R19" i="11"/>
  <c r="AP21" i="11"/>
  <c r="AC55" i="11"/>
  <c r="AC57" i="11" s="1"/>
  <c r="O62" i="11"/>
  <c r="O58" i="11"/>
  <c r="DL25" i="8"/>
  <c r="BA61" i="8"/>
  <c r="BT61" i="8"/>
  <c r="AU48" i="8"/>
  <c r="AU58" i="8" s="1"/>
  <c r="BN48" i="8"/>
  <c r="BM58" i="8"/>
  <c r="AW82" i="8"/>
  <c r="AF18" i="11"/>
  <c r="AF9" i="11"/>
  <c r="AK23" i="11"/>
  <c r="AK27" i="11" s="1"/>
  <c r="AK31" i="11" s="1"/>
  <c r="AK19" i="11"/>
  <c r="AK9" i="11"/>
  <c r="AM16" i="11"/>
  <c r="AM18" i="11" s="1"/>
  <c r="T62" i="11"/>
  <c r="T58" i="11"/>
  <c r="AK60" i="11"/>
  <c r="CB39" i="8"/>
  <c r="BP47" i="8"/>
  <c r="BN58" i="8"/>
  <c r="AW84" i="8"/>
  <c r="AC23" i="11"/>
  <c r="AC27" i="11" s="1"/>
  <c r="AC31" i="11" s="1"/>
  <c r="AC19" i="11"/>
  <c r="B19" i="11"/>
  <c r="AW48" i="8"/>
  <c r="AW58" i="8" s="1"/>
  <c r="BG48" i="8"/>
  <c r="BG58" i="8" s="1"/>
  <c r="BZ48" i="8"/>
  <c r="BZ58" i="8" s="1"/>
  <c r="U23" i="11"/>
  <c r="U27" i="11" s="1"/>
  <c r="U31" i="11" s="1"/>
  <c r="U19" i="11"/>
  <c r="U9" i="11"/>
  <c r="Q16" i="11"/>
  <c r="Q18" i="11" s="1"/>
  <c r="AO16" i="11"/>
  <c r="AO18" i="11" s="1"/>
  <c r="X23" i="11"/>
  <c r="X27" i="11" s="1"/>
  <c r="X31" i="11" s="1"/>
  <c r="AH47" i="11"/>
  <c r="AP47" i="11"/>
  <c r="AO48" i="11"/>
  <c r="R57" i="11"/>
  <c r="R48" i="11"/>
  <c r="AE57" i="11"/>
  <c r="AE48" i="11"/>
  <c r="DH54" i="8"/>
  <c r="DH57" i="8" s="1"/>
  <c r="AT61" i="8"/>
  <c r="E23" i="11"/>
  <c r="E27" i="11" s="1"/>
  <c r="E31" i="11" s="1"/>
  <c r="E19" i="11"/>
  <c r="M23" i="11"/>
  <c r="M27" i="11" s="1"/>
  <c r="M31" i="11" s="1"/>
  <c r="M19" i="11"/>
  <c r="AE18" i="11"/>
  <c r="AE9" i="11"/>
  <c r="V16" i="11"/>
  <c r="AP14" i="11"/>
  <c r="AP16" i="11" s="1"/>
  <c r="AA18" i="11"/>
  <c r="I19" i="11"/>
  <c r="AD23" i="11"/>
  <c r="AD27" i="11" s="1"/>
  <c r="AD31" i="11" s="1"/>
  <c r="Q57" i="11"/>
  <c r="Q48" i="11"/>
  <c r="B57" i="11"/>
  <c r="B48" i="11"/>
  <c r="J57" i="11"/>
  <c r="J48" i="11"/>
  <c r="S66" i="11"/>
  <c r="D62" i="11"/>
  <c r="D58" i="11"/>
  <c r="AP26" i="12"/>
  <c r="AP29" i="12"/>
  <c r="AP30" i="12" s="1"/>
  <c r="H9" i="11"/>
  <c r="P9" i="11"/>
  <c r="X9" i="11"/>
  <c r="N66" i="11"/>
  <c r="I9" i="11"/>
  <c r="Y9" i="11"/>
  <c r="AG9" i="11"/>
  <c r="X57" i="11"/>
  <c r="AN47" i="11"/>
  <c r="AK64" i="11"/>
  <c r="H62" i="11"/>
  <c r="H58" i="11"/>
  <c r="P62" i="11"/>
  <c r="P58" i="11"/>
  <c r="Y62" i="11"/>
  <c r="Y58" i="11"/>
  <c r="P48" i="11"/>
  <c r="V47" i="11"/>
  <c r="AI47" i="11"/>
  <c r="AK46" i="11"/>
  <c r="I62" i="11"/>
  <c r="I58" i="11"/>
  <c r="Z57" i="11"/>
  <c r="Z48" i="11"/>
  <c r="AB55" i="11"/>
  <c r="AF51" i="11"/>
  <c r="AK51" i="11"/>
  <c r="AK55" i="11" s="1"/>
  <c r="AF52" i="11"/>
  <c r="E57" i="11"/>
  <c r="M57" i="11"/>
  <c r="U57" i="11"/>
  <c r="C48" i="11"/>
  <c r="K48" i="11"/>
  <c r="S48" i="11"/>
  <c r="AP32" i="12"/>
  <c r="AL38" i="12"/>
  <c r="AL39" i="12" s="1"/>
  <c r="AL33" i="12"/>
  <c r="AP13" i="12"/>
  <c r="AM19" i="12"/>
  <c r="AM22" i="12"/>
  <c r="AM23" i="12" s="1"/>
  <c r="AN22" i="12"/>
  <c r="AN23" i="12" s="1"/>
  <c r="AN19" i="12"/>
  <c r="Q8" i="14"/>
  <c r="AO8" i="14"/>
  <c r="AE59" i="16"/>
  <c r="AL29" i="12"/>
  <c r="AL30" i="12" s="1"/>
  <c r="AM33" i="12"/>
  <c r="AP7" i="14"/>
  <c r="P26" i="16"/>
  <c r="AO37" i="16"/>
  <c r="AL22" i="12"/>
  <c r="AL23" i="12" s="1"/>
  <c r="AO29" i="12"/>
  <c r="AO30" i="12" s="1"/>
  <c r="AK8" i="14"/>
  <c r="AE26" i="16"/>
  <c r="AF49" i="17"/>
  <c r="AP18" i="12"/>
  <c r="AF24" i="17"/>
  <c r="L13" i="14"/>
  <c r="AO10" i="16"/>
  <c r="AP12" i="14"/>
  <c r="AP13" i="14" s="1"/>
  <c r="F26" i="16"/>
  <c r="Q59" i="16"/>
  <c r="AJ49" i="16"/>
  <c r="C61" i="16"/>
  <c r="D60" i="16" s="1"/>
  <c r="D61" i="16" s="1"/>
  <c r="E60" i="16" s="1"/>
  <c r="E61" i="16" s="1"/>
  <c r="AN13" i="14"/>
  <c r="V26" i="15"/>
  <c r="AJ26" i="16"/>
  <c r="AJ59" i="16"/>
  <c r="AO34" i="16"/>
  <c r="F49" i="16"/>
  <c r="AH49" i="17"/>
  <c r="AA22" i="15"/>
  <c r="X59" i="16"/>
  <c r="P39" i="16"/>
  <c r="AE49" i="17"/>
  <c r="AF26" i="15"/>
  <c r="AO11" i="16"/>
  <c r="AH59" i="16"/>
  <c r="U39" i="16"/>
  <c r="AN39" i="16"/>
  <c r="AO38" i="16"/>
  <c r="K49" i="16"/>
  <c r="AM49" i="16"/>
  <c r="X49" i="17"/>
  <c r="K26" i="16"/>
  <c r="AO22" i="16"/>
  <c r="Z39" i="16"/>
  <c r="AK39" i="16"/>
  <c r="AO31" i="16"/>
  <c r="G59" i="16"/>
  <c r="O59" i="16"/>
  <c r="P59" i="16" s="1"/>
  <c r="U49" i="16"/>
  <c r="AP6" i="14"/>
  <c r="AO13" i="16"/>
  <c r="AO16" i="16"/>
  <c r="AO24" i="16"/>
  <c r="R59" i="16"/>
  <c r="AO43" i="16"/>
  <c r="AO53" i="16"/>
  <c r="G22" i="15"/>
  <c r="U26" i="16"/>
  <c r="AO18" i="16"/>
  <c r="F59" i="16"/>
  <c r="F61" i="16" s="1"/>
  <c r="G60" i="16" s="1"/>
  <c r="K60" i="16" s="1"/>
  <c r="AJ39" i="16"/>
  <c r="AO44" i="16"/>
  <c r="AL55" i="16"/>
  <c r="AO52" i="16"/>
  <c r="AO55" i="16" s="1"/>
  <c r="AG49" i="17"/>
  <c r="AC24" i="17"/>
  <c r="AD49" i="17"/>
  <c r="Z24" i="17"/>
  <c r="AA24" i="17"/>
  <c r="EM23" i="4" l="1"/>
  <c r="EM28" i="4"/>
  <c r="EM30" i="4" s="1"/>
  <c r="ED23" i="4"/>
  <c r="ED28" i="4"/>
  <c r="ED30" i="4" s="1"/>
  <c r="EQ23" i="4"/>
  <c r="EQ28" i="4"/>
  <c r="EQ30" i="4" s="1"/>
  <c r="EQ34" i="4" s="1"/>
  <c r="DQ51" i="7" s="1"/>
  <c r="EN12" i="4"/>
  <c r="EN22" i="4"/>
  <c r="DP38" i="4"/>
  <c r="DL22" i="4"/>
  <c r="AO49" i="16"/>
  <c r="AO39" i="16"/>
  <c r="AP18" i="15"/>
  <c r="AP20" i="15"/>
  <c r="AM22" i="15"/>
  <c r="AP19" i="15"/>
  <c r="AP8" i="14"/>
  <c r="AP14" i="13"/>
  <c r="AP56" i="12"/>
  <c r="AP57" i="12"/>
  <c r="AP54" i="12"/>
  <c r="V18" i="11"/>
  <c r="AO57" i="11"/>
  <c r="AO62" i="11" s="1"/>
  <c r="AG23" i="11"/>
  <c r="AG27" i="11" s="1"/>
  <c r="AG31" i="11" s="1"/>
  <c r="AG19" i="11"/>
  <c r="AJ19" i="11"/>
  <c r="V9" i="11"/>
  <c r="AD58" i="11"/>
  <c r="AD62" i="11"/>
  <c r="Z19" i="11"/>
  <c r="AM19" i="11"/>
  <c r="AM23" i="11"/>
  <c r="AM27" i="11" s="1"/>
  <c r="AM31" i="11" s="1"/>
  <c r="EL28" i="4"/>
  <c r="EL30" i="4" s="1"/>
  <c r="EL23" i="4"/>
  <c r="DP28" i="4"/>
  <c r="DP30" i="4" s="1"/>
  <c r="DP23" i="4"/>
  <c r="CV61" i="8"/>
  <c r="CV48" i="8"/>
  <c r="CV58" i="8" s="1"/>
  <c r="DS28" i="4"/>
  <c r="DS30" i="4" s="1"/>
  <c r="DS23" i="4"/>
  <c r="DB28" i="4"/>
  <c r="DB30" i="4" s="1"/>
  <c r="DB23" i="4"/>
  <c r="DK61" i="8"/>
  <c r="DK63" i="8" s="1"/>
  <c r="DK48" i="8"/>
  <c r="DK58" i="8" s="1"/>
  <c r="AL62" i="11"/>
  <c r="AL58" i="11"/>
  <c r="AO23" i="11"/>
  <c r="AO27" i="11" s="1"/>
  <c r="AO31" i="11" s="1"/>
  <c r="AO19" i="11"/>
  <c r="Q23" i="11"/>
  <c r="Q27" i="11" s="1"/>
  <c r="Q31" i="11" s="1"/>
  <c r="Q19" i="11"/>
  <c r="DN61" i="8"/>
  <c r="DN63" i="8" s="1"/>
  <c r="DN48" i="8"/>
  <c r="DN58" i="8" s="1"/>
  <c r="EA28" i="4"/>
  <c r="EA30" i="4" s="1"/>
  <c r="EA23" i="4"/>
  <c r="AL15" i="12"/>
  <c r="AL10" i="12"/>
  <c r="AP9" i="12"/>
  <c r="AP22" i="12"/>
  <c r="AP23" i="12" s="1"/>
  <c r="AP19" i="12"/>
  <c r="AP38" i="12"/>
  <c r="AP39" i="12" s="1"/>
  <c r="AP33" i="12"/>
  <c r="D66" i="11"/>
  <c r="Q62" i="11"/>
  <c r="Q58" i="11"/>
  <c r="AE19" i="11"/>
  <c r="AE23" i="11"/>
  <c r="AE27" i="11" s="1"/>
  <c r="AE31" i="11" s="1"/>
  <c r="AE62" i="11"/>
  <c r="AE58" i="11"/>
  <c r="DQ61" i="8"/>
  <c r="DQ63" i="8" s="1"/>
  <c r="DQ48" i="8"/>
  <c r="CL61" i="8"/>
  <c r="CL84" i="8"/>
  <c r="CL48" i="8"/>
  <c r="CL58" i="8" s="1"/>
  <c r="CX58" i="8"/>
  <c r="CA28" i="7"/>
  <c r="AP16" i="13"/>
  <c r="BR63" i="8"/>
  <c r="AC58" i="11"/>
  <c r="AC62" i="11"/>
  <c r="AV28" i="7"/>
  <c r="AD28" i="7"/>
  <c r="AP59" i="12"/>
  <c r="AX54" i="7"/>
  <c r="BB53" i="7"/>
  <c r="DT15" i="7"/>
  <c r="DT18" i="7" s="1"/>
  <c r="CY28" i="7"/>
  <c r="CN28" i="7"/>
  <c r="AM54" i="7"/>
  <c r="AJ53" i="7"/>
  <c r="AF54" i="7"/>
  <c r="EB43" i="4"/>
  <c r="EB38" i="4"/>
  <c r="E20" i="4"/>
  <c r="ED42" i="4"/>
  <c r="ED37" i="4"/>
  <c r="ED34" i="4"/>
  <c r="BN23" i="4"/>
  <c r="BN28" i="4"/>
  <c r="CZ28" i="4"/>
  <c r="CZ30" i="4" s="1"/>
  <c r="CZ23" i="4"/>
  <c r="AM41" i="12"/>
  <c r="BA28" i="4"/>
  <c r="BA23" i="4"/>
  <c r="G23" i="7"/>
  <c r="G27" i="7"/>
  <c r="G24" i="7"/>
  <c r="G38" i="7"/>
  <c r="G31" i="7"/>
  <c r="G22" i="7"/>
  <c r="G28" i="7" s="1"/>
  <c r="G46" i="7" s="1"/>
  <c r="G13" i="7"/>
  <c r="G10" i="7"/>
  <c r="G26" i="7"/>
  <c r="G39" i="7"/>
  <c r="G25" i="7"/>
  <c r="CL28" i="4"/>
  <c r="CL23" i="4"/>
  <c r="CB12" i="4"/>
  <c r="BJ9" i="6" s="1"/>
  <c r="BJ8" i="6"/>
  <c r="BJ24" i="6" s="1"/>
  <c r="BJ25" i="6" s="1"/>
  <c r="CB22" i="4"/>
  <c r="BO23" i="4"/>
  <c r="BO28" i="4"/>
  <c r="CG23" i="4"/>
  <c r="CG28" i="4"/>
  <c r="BR28" i="4"/>
  <c r="BR23" i="4"/>
  <c r="C25" i="6"/>
  <c r="C24" i="6"/>
  <c r="C9" i="6"/>
  <c r="C21" i="6"/>
  <c r="C20" i="6"/>
  <c r="C19" i="6"/>
  <c r="C18" i="6"/>
  <c r="C17" i="6"/>
  <c r="C16" i="6"/>
  <c r="C15" i="6"/>
  <c r="C14" i="6"/>
  <c r="C13" i="6"/>
  <c r="C12" i="6"/>
  <c r="C8" i="6"/>
  <c r="D74" i="8"/>
  <c r="D68" i="8"/>
  <c r="D59" i="8"/>
  <c r="D75" i="8"/>
  <c r="D72" i="8"/>
  <c r="D69" i="8"/>
  <c r="D66" i="8"/>
  <c r="D56" i="8"/>
  <c r="D36" i="8"/>
  <c r="D31" i="8"/>
  <c r="D43" i="8"/>
  <c r="D34" i="8"/>
  <c r="D25" i="8"/>
  <c r="D54" i="8"/>
  <c r="D46" i="8"/>
  <c r="D67" i="8"/>
  <c r="D41" i="8"/>
  <c r="D32" i="8"/>
  <c r="D26" i="8"/>
  <c r="D73" i="8"/>
  <c r="D44" i="8"/>
  <c r="D38" i="8"/>
  <c r="D76" i="8"/>
  <c r="D42" i="8"/>
  <c r="D37" i="8"/>
  <c r="D35" i="8"/>
  <c r="D33" i="8"/>
  <c r="D27" i="8"/>
  <c r="D24" i="8"/>
  <c r="D23" i="8"/>
  <c r="D17" i="8"/>
  <c r="D15" i="8"/>
  <c r="D13" i="8"/>
  <c r="D12" i="8"/>
  <c r="D19" i="8"/>
  <c r="D18" i="8"/>
  <c r="D30" i="8"/>
  <c r="D16" i="8"/>
  <c r="D10" i="8"/>
  <c r="D14" i="8"/>
  <c r="D20" i="8"/>
  <c r="D55" i="8"/>
  <c r="D22" i="8"/>
  <c r="D45" i="8"/>
  <c r="DM23" i="4"/>
  <c r="DM28" i="4"/>
  <c r="DM30" i="4" s="1"/>
  <c r="CQ42" i="4"/>
  <c r="CQ37" i="4"/>
  <c r="CQ34" i="4"/>
  <c r="DJ23" i="4"/>
  <c r="DJ28" i="4"/>
  <c r="DJ30" i="4" s="1"/>
  <c r="BT51" i="7"/>
  <c r="BT52" i="7" s="1"/>
  <c r="CT44" i="4"/>
  <c r="CT39" i="4"/>
  <c r="U62" i="11"/>
  <c r="U58" i="11"/>
  <c r="DQ58" i="8"/>
  <c r="DK19" i="7"/>
  <c r="DK15" i="7"/>
  <c r="DK18" i="7" s="1"/>
  <c r="CX28" i="7"/>
  <c r="AH54" i="7"/>
  <c r="AM15" i="12"/>
  <c r="AM10" i="12"/>
  <c r="H66" i="11"/>
  <c r="BT63" i="8"/>
  <c r="DP61" i="8"/>
  <c r="DP63" i="8" s="1"/>
  <c r="DP48" i="8"/>
  <c r="DP58" i="8" s="1"/>
  <c r="AM66" i="11"/>
  <c r="DG61" i="8"/>
  <c r="DG48" i="8"/>
  <c r="DG58" i="8" s="1"/>
  <c r="CL81" i="8"/>
  <c r="CL82" i="8" s="1"/>
  <c r="AK47" i="11"/>
  <c r="CT48" i="8"/>
  <c r="CT61" i="8"/>
  <c r="CH28" i="7"/>
  <c r="DP35" i="7"/>
  <c r="DP36" i="7"/>
  <c r="AP21" i="15"/>
  <c r="DT36" i="7"/>
  <c r="DT35" i="7"/>
  <c r="CZ28" i="7"/>
  <c r="AP28" i="7"/>
  <c r="AA54" i="7"/>
  <c r="AZ54" i="7"/>
  <c r="DQ19" i="7"/>
  <c r="ET43" i="4"/>
  <c r="ET38" i="4"/>
  <c r="BL23" i="4"/>
  <c r="BL28" i="4"/>
  <c r="BY23" i="4"/>
  <c r="BY28" i="4"/>
  <c r="CM28" i="4"/>
  <c r="CM23" i="4"/>
  <c r="N76" i="8"/>
  <c r="N73" i="8"/>
  <c r="N67" i="8"/>
  <c r="AH67" i="8" s="1"/>
  <c r="N61" i="8"/>
  <c r="N74" i="8"/>
  <c r="N68" i="8"/>
  <c r="N59" i="8"/>
  <c r="N55" i="8"/>
  <c r="N30" i="8"/>
  <c r="N75" i="8"/>
  <c r="N72" i="8"/>
  <c r="N42" i="8"/>
  <c r="N37" i="8"/>
  <c r="N35" i="8"/>
  <c r="N33" i="8"/>
  <c r="N27" i="8"/>
  <c r="N69" i="8"/>
  <c r="N45" i="8"/>
  <c r="N56" i="8"/>
  <c r="N36" i="8"/>
  <c r="N31" i="8"/>
  <c r="N43" i="8"/>
  <c r="N34" i="8"/>
  <c r="N25" i="8"/>
  <c r="N41" i="8"/>
  <c r="N32" i="8"/>
  <c r="N26" i="8"/>
  <c r="N23" i="8"/>
  <c r="N44" i="8"/>
  <c r="N22" i="8"/>
  <c r="N20" i="8"/>
  <c r="N14" i="8"/>
  <c r="N46" i="8"/>
  <c r="N17" i="8"/>
  <c r="N54" i="8"/>
  <c r="N57" i="8" s="1"/>
  <c r="N24" i="8"/>
  <c r="N15" i="8"/>
  <c r="N13" i="8"/>
  <c r="AH13" i="8" s="1"/>
  <c r="N12" i="8"/>
  <c r="N18" i="8"/>
  <c r="N38" i="8"/>
  <c r="N19" i="8"/>
  <c r="N10" i="8"/>
  <c r="AH10" i="8" s="1"/>
  <c r="N9" i="8"/>
  <c r="N66" i="8"/>
  <c r="AH66" i="8" s="1"/>
  <c r="N16" i="8"/>
  <c r="BM28" i="4"/>
  <c r="BM23" i="4"/>
  <c r="CC8" i="6"/>
  <c r="CB8" i="6"/>
  <c r="CB24" i="6" s="1"/>
  <c r="CB25" i="6" s="1"/>
  <c r="CA8" i="6"/>
  <c r="CA24" i="6" s="1"/>
  <c r="CA25" i="6" s="1"/>
  <c r="BZ8" i="6"/>
  <c r="BZ24" i="6" s="1"/>
  <c r="BZ25" i="6" s="1"/>
  <c r="AH24" i="6"/>
  <c r="AH25" i="6" s="1"/>
  <c r="AB62" i="3"/>
  <c r="AB57" i="3"/>
  <c r="BI28" i="4"/>
  <c r="BI23" i="4"/>
  <c r="ER28" i="4"/>
  <c r="ER30" i="4" s="1"/>
  <c r="ER34" i="4" s="1"/>
  <c r="DR51" i="7" s="1"/>
  <c r="DR52" i="7" s="1"/>
  <c r="ER23" i="4"/>
  <c r="BZ28" i="4"/>
  <c r="BZ23" i="4"/>
  <c r="F45" i="1"/>
  <c r="DH28" i="4"/>
  <c r="DH30" i="4" s="1"/>
  <c r="DH23" i="4"/>
  <c r="BD30" i="4"/>
  <c r="ES28" i="4"/>
  <c r="ES30" i="4" s="1"/>
  <c r="ES23" i="4"/>
  <c r="DR61" i="8"/>
  <c r="DR63" i="8" s="1"/>
  <c r="DR48" i="8"/>
  <c r="DR58" i="8" s="1"/>
  <c r="CX61" i="8"/>
  <c r="CX48" i="8"/>
  <c r="BY63" i="8"/>
  <c r="BN36" i="7"/>
  <c r="BN35" i="7"/>
  <c r="BP28" i="4"/>
  <c r="BP23" i="4"/>
  <c r="DV12" i="4"/>
  <c r="DV22" i="4"/>
  <c r="CP42" i="4"/>
  <c r="CP37" i="4"/>
  <c r="CP34" i="4"/>
  <c r="M58" i="11"/>
  <c r="M62" i="11"/>
  <c r="AA23" i="11"/>
  <c r="AA27" i="11" s="1"/>
  <c r="AA31" i="11" s="1"/>
  <c r="AA19" i="11"/>
  <c r="O19" i="11"/>
  <c r="O23" i="11"/>
  <c r="O27" i="11" s="1"/>
  <c r="O31" i="11" s="1"/>
  <c r="W19" i="11"/>
  <c r="W23" i="11"/>
  <c r="W27" i="11" s="1"/>
  <c r="W31" i="11" s="1"/>
  <c r="BX48" i="8"/>
  <c r="BX58" i="8" s="1"/>
  <c r="BX61" i="8"/>
  <c r="AG62" i="11"/>
  <c r="AG58" i="11"/>
  <c r="CT58" i="8"/>
  <c r="DH61" i="8"/>
  <c r="DH48" i="8"/>
  <c r="CN61" i="8"/>
  <c r="CN84" i="8"/>
  <c r="CN48" i="8"/>
  <c r="CN58" i="8" s="1"/>
  <c r="AP44" i="12"/>
  <c r="AO22" i="15"/>
  <c r="AX61" i="8"/>
  <c r="AX48" i="8"/>
  <c r="AX58" i="8" s="1"/>
  <c r="AX84" i="8"/>
  <c r="AN22" i="15"/>
  <c r="AP8" i="11"/>
  <c r="DK35" i="7"/>
  <c r="DK36" i="7"/>
  <c r="DA28" i="7"/>
  <c r="AG54" i="7"/>
  <c r="BA54" i="7"/>
  <c r="DA23" i="4"/>
  <c r="DA28" i="4"/>
  <c r="DA30" i="4" s="1"/>
  <c r="AN41" i="12"/>
  <c r="BB23" i="4"/>
  <c r="BB28" i="4"/>
  <c r="AY54" i="7"/>
  <c r="CD28" i="4"/>
  <c r="CD23" i="4"/>
  <c r="C29" i="6"/>
  <c r="K64" i="4"/>
  <c r="K61" i="4"/>
  <c r="K63" i="4"/>
  <c r="K50" i="4"/>
  <c r="K62" i="4"/>
  <c r="K49" i="4"/>
  <c r="K29" i="4"/>
  <c r="K38" i="4"/>
  <c r="K32" i="4"/>
  <c r="K26" i="4"/>
  <c r="K56" i="4"/>
  <c r="K47" i="4"/>
  <c r="K17" i="4"/>
  <c r="K16" i="4"/>
  <c r="K57" i="4"/>
  <c r="K19" i="4"/>
  <c r="K10" i="4"/>
  <c r="K9" i="4"/>
  <c r="K18" i="4"/>
  <c r="AF7" i="8"/>
  <c r="AB7" i="8"/>
  <c r="L7" i="8"/>
  <c r="F7" i="8"/>
  <c r="V7" i="8"/>
  <c r="R7" i="8"/>
  <c r="Q7" i="7"/>
  <c r="K7" i="7"/>
  <c r="W7" i="6"/>
  <c r="E7" i="6"/>
  <c r="U7" i="7"/>
  <c r="Q7" i="6"/>
  <c r="K7" i="6"/>
  <c r="E7" i="7"/>
  <c r="AE7" i="4"/>
  <c r="M7" i="4"/>
  <c r="C55" i="1"/>
  <c r="F44" i="1"/>
  <c r="Y7" i="4"/>
  <c r="G7" i="4"/>
  <c r="S7" i="4"/>
  <c r="C44" i="1"/>
  <c r="C49" i="1"/>
  <c r="AK7" i="4"/>
  <c r="Q32" i="4"/>
  <c r="E65" i="4"/>
  <c r="E66" i="4" s="1"/>
  <c r="DG22" i="4"/>
  <c r="DG12" i="4"/>
  <c r="CG9" i="6" s="1"/>
  <c r="I39" i="7"/>
  <c r="I31" i="7"/>
  <c r="I38" i="7"/>
  <c r="I27" i="7"/>
  <c r="I24" i="7"/>
  <c r="I26" i="7"/>
  <c r="I13" i="7"/>
  <c r="I10" i="7"/>
  <c r="I25" i="7"/>
  <c r="I23" i="7"/>
  <c r="I22" i="7"/>
  <c r="I28" i="7" s="1"/>
  <c r="I46" i="7" s="1"/>
  <c r="DY28" i="4"/>
  <c r="DY30" i="4" s="1"/>
  <c r="DY23" i="4"/>
  <c r="D95" i="8"/>
  <c r="J95" i="8"/>
  <c r="D20" i="1"/>
  <c r="C20" i="1"/>
  <c r="E19" i="1"/>
  <c r="DV43" i="4"/>
  <c r="DV38" i="4"/>
  <c r="DQ52" i="7"/>
  <c r="BD8" i="6"/>
  <c r="BD24" i="6" s="1"/>
  <c r="BD25" i="6" s="1"/>
  <c r="BV12" i="4"/>
  <c r="BD9" i="6" s="1"/>
  <c r="BV22" i="4"/>
  <c r="AE57" i="3"/>
  <c r="AE62" i="3"/>
  <c r="DL23" i="4"/>
  <c r="DL28" i="4"/>
  <c r="DL30" i="4" s="1"/>
  <c r="EP23" i="4"/>
  <c r="EP28" i="4"/>
  <c r="EP30" i="4" s="1"/>
  <c r="EP34" i="4" s="1"/>
  <c r="DP51" i="7" s="1"/>
  <c r="DP52" i="7" s="1"/>
  <c r="CV42" i="4"/>
  <c r="CV37" i="4"/>
  <c r="CV34" i="4"/>
  <c r="EK28" i="4"/>
  <c r="EK30" i="4" s="1"/>
  <c r="EK23" i="4"/>
  <c r="X57" i="3"/>
  <c r="X62" i="3"/>
  <c r="EJ28" i="4"/>
  <c r="EJ30" i="4" s="1"/>
  <c r="EJ23" i="4"/>
  <c r="DU22" i="4"/>
  <c r="DU12" i="4"/>
  <c r="U59" i="16"/>
  <c r="E62" i="11"/>
  <c r="E58" i="11"/>
  <c r="I66" i="11"/>
  <c r="Y66" i="11"/>
  <c r="J58" i="11"/>
  <c r="J62" i="11"/>
  <c r="T66" i="11"/>
  <c r="K66" i="11"/>
  <c r="CY61" i="8"/>
  <c r="CY48" i="8"/>
  <c r="CY58" i="8" s="1"/>
  <c r="CB28" i="8"/>
  <c r="W66" i="11"/>
  <c r="AA58" i="11"/>
  <c r="AA62" i="11"/>
  <c r="DM61" i="8"/>
  <c r="DM63" i="8" s="1"/>
  <c r="DM48" i="8"/>
  <c r="AP46" i="12"/>
  <c r="AL22" i="15"/>
  <c r="AP16" i="15"/>
  <c r="AP22" i="15" s="1"/>
  <c r="AP55" i="12"/>
  <c r="N19" i="11"/>
  <c r="N23" i="11"/>
  <c r="N27" i="11" s="1"/>
  <c r="N31" i="11" s="1"/>
  <c r="AJ28" i="7"/>
  <c r="CP28" i="8"/>
  <c r="CP79" i="8"/>
  <c r="CP81" i="8" s="1"/>
  <c r="DL15" i="7"/>
  <c r="DL18" i="7" s="1"/>
  <c r="AN18" i="11"/>
  <c r="AN9" i="11"/>
  <c r="AP53" i="7"/>
  <c r="AP54" i="7" s="1"/>
  <c r="AL54" i="7"/>
  <c r="DD38" i="4"/>
  <c r="BS28" i="4"/>
  <c r="BS23" i="4"/>
  <c r="BV8" i="6"/>
  <c r="BV24" i="6" s="1"/>
  <c r="BV25" i="6" s="1"/>
  <c r="CN22" i="4"/>
  <c r="CN12" i="4"/>
  <c r="BV9" i="6" s="1"/>
  <c r="D40" i="1"/>
  <c r="D38" i="1"/>
  <c r="D39" i="1" s="1"/>
  <c r="D33" i="1"/>
  <c r="D34" i="1"/>
  <c r="D21" i="1"/>
  <c r="Q38" i="4"/>
  <c r="CK30" i="4"/>
  <c r="EB22" i="4"/>
  <c r="EB12" i="4"/>
  <c r="DO28" i="4"/>
  <c r="DO30" i="4" s="1"/>
  <c r="DO23" i="4"/>
  <c r="BG28" i="4"/>
  <c r="BG23" i="4"/>
  <c r="BF23" i="4"/>
  <c r="BF28" i="4"/>
  <c r="BX23" i="4"/>
  <c r="BX28" i="4"/>
  <c r="AR6" i="4"/>
  <c r="AO6" i="4"/>
  <c r="W57" i="3"/>
  <c r="W62" i="3"/>
  <c r="EN23" i="4"/>
  <c r="EN28" i="4"/>
  <c r="EN30" i="4" s="1"/>
  <c r="CJ22" i="7"/>
  <c r="CJ28" i="7" s="1"/>
  <c r="CI28" i="7"/>
  <c r="CA63" i="8"/>
  <c r="Z54" i="7"/>
  <c r="AD53" i="7"/>
  <c r="AD54" i="7" s="1"/>
  <c r="DT23" i="4"/>
  <c r="DT28" i="4"/>
  <c r="DT30" i="4" s="1"/>
  <c r="BH28" i="4"/>
  <c r="BH23" i="4"/>
  <c r="AP57" i="11"/>
  <c r="AP48" i="11"/>
  <c r="G19" i="11"/>
  <c r="G23" i="11"/>
  <c r="G27" i="11" s="1"/>
  <c r="G31" i="11" s="1"/>
  <c r="BV48" i="8"/>
  <c r="BV58" i="8" s="1"/>
  <c r="BV61" i="8"/>
  <c r="CU28" i="7"/>
  <c r="CV22" i="7"/>
  <c r="CV28" i="7" s="1"/>
  <c r="BJ58" i="8"/>
  <c r="V19" i="11"/>
  <c r="V23" i="11"/>
  <c r="V27" i="11" s="1"/>
  <c r="V31" i="11" s="1"/>
  <c r="DT61" i="8"/>
  <c r="DT63" i="8" s="1"/>
  <c r="DT48" i="8"/>
  <c r="DT58" i="8" s="1"/>
  <c r="AG22" i="15"/>
  <c r="AK16" i="15"/>
  <c r="DB22" i="7"/>
  <c r="DB28" i="7" s="1"/>
  <c r="BB28" i="7"/>
  <c r="BD54" i="7"/>
  <c r="BH53" i="7"/>
  <c r="AO54" i="7"/>
  <c r="CE23" i="4"/>
  <c r="CE28" i="4"/>
  <c r="AN15" i="12"/>
  <c r="AN10" i="12"/>
  <c r="DN42" i="4"/>
  <c r="DN37" i="4"/>
  <c r="O37" i="4" s="1"/>
  <c r="AG37" i="4" s="1"/>
  <c r="DN34" i="4"/>
  <c r="BT28" i="4"/>
  <c r="BT23" i="4"/>
  <c r="J94" i="8"/>
  <c r="D94" i="8"/>
  <c r="G10" i="3"/>
  <c r="E58" i="4"/>
  <c r="E59" i="4" s="1"/>
  <c r="I57" i="4"/>
  <c r="I48" i="4"/>
  <c r="I64" i="4"/>
  <c r="I43" i="4"/>
  <c r="U43" i="4" s="1"/>
  <c r="I61" i="4"/>
  <c r="I63" i="4"/>
  <c r="I56" i="4"/>
  <c r="I49" i="4"/>
  <c r="I47" i="4"/>
  <c r="I62" i="4"/>
  <c r="I50" i="4"/>
  <c r="I19" i="4"/>
  <c r="I29" i="4"/>
  <c r="I26" i="4"/>
  <c r="I18" i="4"/>
  <c r="I32" i="4"/>
  <c r="U32" i="4" s="1"/>
  <c r="I38" i="4"/>
  <c r="U38" i="4" s="1"/>
  <c r="I17" i="4"/>
  <c r="I16" i="4"/>
  <c r="I10" i="4"/>
  <c r="I9" i="4"/>
  <c r="C38" i="7"/>
  <c r="C39" i="7"/>
  <c r="C31" i="7"/>
  <c r="C22" i="7"/>
  <c r="C28" i="7" s="1"/>
  <c r="C46" i="7" s="1"/>
  <c r="C26" i="7"/>
  <c r="C23" i="7"/>
  <c r="C27" i="7"/>
  <c r="C25" i="7"/>
  <c r="C13" i="7"/>
  <c r="C10" i="7"/>
  <c r="C24" i="7"/>
  <c r="DF28" i="4"/>
  <c r="DF30" i="4" s="1"/>
  <c r="DF23" i="4"/>
  <c r="AN24" i="6"/>
  <c r="AN25" i="6" s="1"/>
  <c r="CI8" i="6"/>
  <c r="CH8" i="6"/>
  <c r="CH24" i="6" s="1"/>
  <c r="CH25" i="6" s="1"/>
  <c r="CF8" i="6"/>
  <c r="CF24" i="6" s="1"/>
  <c r="CF25" i="6" s="1"/>
  <c r="CG8" i="6"/>
  <c r="CG24" i="6" s="1"/>
  <c r="CG25" i="6" s="1"/>
  <c r="AO10" i="12"/>
  <c r="AO15" i="12"/>
  <c r="O57" i="3"/>
  <c r="O62" i="3"/>
  <c r="AL7" i="15"/>
  <c r="AL52" i="12"/>
  <c r="Z9" i="7"/>
  <c r="AZ30" i="4"/>
  <c r="EF23" i="4"/>
  <c r="EF28" i="4"/>
  <c r="EF30" i="4" s="1"/>
  <c r="DZ28" i="4"/>
  <c r="DZ30" i="4" s="1"/>
  <c r="DZ23" i="4"/>
  <c r="BS51" i="7"/>
  <c r="BS52" i="7" s="1"/>
  <c r="CS39" i="4"/>
  <c r="CS44" i="4"/>
  <c r="CM8" i="6"/>
  <c r="CM24" i="6" s="1"/>
  <c r="CM25" i="6" s="1"/>
  <c r="CL8" i="6"/>
  <c r="CL24" i="6" s="1"/>
  <c r="CL25" i="6" s="1"/>
  <c r="AT24" i="6"/>
  <c r="AT25" i="6" s="1"/>
  <c r="CO8" i="6"/>
  <c r="CN8" i="6"/>
  <c r="CN24" i="6" s="1"/>
  <c r="CN25" i="6" s="1"/>
  <c r="G9" i="6"/>
  <c r="G25" i="6"/>
  <c r="G21" i="6"/>
  <c r="G20" i="6"/>
  <c r="G19" i="6"/>
  <c r="G18" i="6"/>
  <c r="G17" i="6"/>
  <c r="G16" i="6"/>
  <c r="G15" i="6"/>
  <c r="G14" i="6"/>
  <c r="G13" i="6"/>
  <c r="G12" i="6"/>
  <c r="G24" i="6"/>
  <c r="G8" i="6"/>
  <c r="I9" i="6"/>
  <c r="I25" i="6"/>
  <c r="I21" i="6"/>
  <c r="I20" i="6"/>
  <c r="I19" i="6"/>
  <c r="I18" i="6"/>
  <c r="I17" i="6"/>
  <c r="I16" i="6"/>
  <c r="I15" i="6"/>
  <c r="I14" i="6"/>
  <c r="I13" i="6"/>
  <c r="I12" i="6"/>
  <c r="I8" i="6"/>
  <c r="I24" i="6"/>
  <c r="G61" i="16"/>
  <c r="H60" i="16" s="1"/>
  <c r="H61" i="16" s="1"/>
  <c r="I60" i="16" s="1"/>
  <c r="I61" i="16" s="1"/>
  <c r="J60" i="16" s="1"/>
  <c r="J61" i="16" s="1"/>
  <c r="K59" i="16"/>
  <c r="DS61" i="8"/>
  <c r="DS63" i="8" s="1"/>
  <c r="DS48" i="8"/>
  <c r="DS58" i="8" s="1"/>
  <c r="DL61" i="8"/>
  <c r="DL63" i="8" s="1"/>
  <c r="DL48" i="8"/>
  <c r="DL58" i="8" s="1"/>
  <c r="DD48" i="8"/>
  <c r="DD58" i="8" s="1"/>
  <c r="DD61" i="8"/>
  <c r="Z59" i="16"/>
  <c r="AI57" i="11"/>
  <c r="AI48" i="11"/>
  <c r="P66" i="11"/>
  <c r="AN57" i="11"/>
  <c r="AN48" i="11"/>
  <c r="B58" i="11"/>
  <c r="B62" i="11"/>
  <c r="DH58" i="8"/>
  <c r="AH57" i="11"/>
  <c r="AH48" i="11"/>
  <c r="AB48" i="11"/>
  <c r="AB57" i="11"/>
  <c r="DF58" i="8"/>
  <c r="DJ61" i="8"/>
  <c r="DJ63" i="8" s="1"/>
  <c r="DJ48" i="8"/>
  <c r="DJ58" i="8" s="1"/>
  <c r="CN82" i="8"/>
  <c r="CO61" i="8"/>
  <c r="CO84" i="8"/>
  <c r="CO48" i="8"/>
  <c r="CO58" i="8" s="1"/>
  <c r="DM58" i="8"/>
  <c r="DE61" i="8"/>
  <c r="DE48" i="8"/>
  <c r="DE58" i="8" s="1"/>
  <c r="CS61" i="8"/>
  <c r="CS48" i="8"/>
  <c r="CS58" i="8" s="1"/>
  <c r="CB28" i="7"/>
  <c r="DA48" i="8"/>
  <c r="DA58" i="8" s="1"/>
  <c r="DA61" i="8"/>
  <c r="DD28" i="7"/>
  <c r="CS28" i="7"/>
  <c r="DB28" i="8"/>
  <c r="CR28" i="7"/>
  <c r="AP48" i="12"/>
  <c r="F19" i="11"/>
  <c r="F23" i="11"/>
  <c r="F27" i="11" s="1"/>
  <c r="F31" i="11" s="1"/>
  <c r="AK17" i="15"/>
  <c r="CC28" i="7"/>
  <c r="CD22" i="7"/>
  <c r="CD28" i="7" s="1"/>
  <c r="DL35" i="7"/>
  <c r="DL36" i="7"/>
  <c r="DH28" i="7"/>
  <c r="CM28" i="7"/>
  <c r="AS54" i="7"/>
  <c r="AR54" i="7"/>
  <c r="AV53" i="7"/>
  <c r="AV54" i="7" s="1"/>
  <c r="EM42" i="4"/>
  <c r="EM34" i="4"/>
  <c r="EM37" i="4"/>
  <c r="O63" i="4"/>
  <c r="O50" i="4"/>
  <c r="O56" i="4"/>
  <c r="O58" i="4" s="1"/>
  <c r="O59" i="4" s="1"/>
  <c r="O49" i="4"/>
  <c r="O47" i="4"/>
  <c r="G46" i="9" s="1"/>
  <c r="O62" i="4"/>
  <c r="O64" i="4"/>
  <c r="O43" i="4"/>
  <c r="AG43" i="4" s="1"/>
  <c r="O42" i="4"/>
  <c r="AG42" i="4" s="1"/>
  <c r="O29" i="4"/>
  <c r="O38" i="4"/>
  <c r="AG38" i="4" s="1"/>
  <c r="O32" i="4"/>
  <c r="O57" i="4"/>
  <c r="O48" i="4"/>
  <c r="G47" i="9" s="1"/>
  <c r="O19" i="4"/>
  <c r="G21" i="9" s="1"/>
  <c r="O18" i="4"/>
  <c r="G20" i="9" s="1"/>
  <c r="O26" i="4"/>
  <c r="O61" i="4"/>
  <c r="O65" i="4" s="1"/>
  <c r="O66" i="4" s="1"/>
  <c r="O17" i="4"/>
  <c r="G19" i="9" s="1"/>
  <c r="O16" i="4"/>
  <c r="O10" i="4"/>
  <c r="O9" i="4"/>
  <c r="AO52" i="12"/>
  <c r="AO60" i="12" s="1"/>
  <c r="AO7" i="15"/>
  <c r="AC9" i="7"/>
  <c r="BC30" i="4"/>
  <c r="EG42" i="4"/>
  <c r="EG37" i="4"/>
  <c r="EG34" i="4"/>
  <c r="M38" i="7"/>
  <c r="M24" i="7"/>
  <c r="M25" i="7"/>
  <c r="M39" i="7"/>
  <c r="M22" i="7"/>
  <c r="M27" i="7"/>
  <c r="M31" i="7"/>
  <c r="M26" i="7"/>
  <c r="M13" i="7"/>
  <c r="M10" i="7"/>
  <c r="M23" i="7"/>
  <c r="DX23" i="4"/>
  <c r="DX28" i="4"/>
  <c r="DX30" i="4" s="1"/>
  <c r="CA28" i="4"/>
  <c r="CA23" i="4"/>
  <c r="AA57" i="3"/>
  <c r="AA62" i="3"/>
  <c r="BF9" i="7"/>
  <c r="CF30" i="4"/>
  <c r="CJ28" i="4"/>
  <c r="CJ23" i="4"/>
  <c r="ET22" i="4"/>
  <c r="ET12" i="4"/>
  <c r="DD22" i="4"/>
  <c r="DD12" i="4"/>
  <c r="CD9" i="6" s="1"/>
  <c r="F55" i="1"/>
  <c r="AL42" i="12"/>
  <c r="AP41" i="12"/>
  <c r="AL49" i="12"/>
  <c r="L12" i="3"/>
  <c r="E11" i="3"/>
  <c r="G11" i="3" s="1"/>
  <c r="EE23" i="4"/>
  <c r="EE28" i="4"/>
  <c r="EE30" i="4" s="1"/>
  <c r="DC23" i="4"/>
  <c r="DC28" i="4"/>
  <c r="DC30" i="4" s="1"/>
  <c r="E29" i="1"/>
  <c r="Z62" i="11"/>
  <c r="Z58" i="11"/>
  <c r="R62" i="11"/>
  <c r="R58" i="11"/>
  <c r="AF19" i="11"/>
  <c r="AF23" i="11"/>
  <c r="AF27" i="11" s="1"/>
  <c r="AF31" i="11" s="1"/>
  <c r="BP61" i="8"/>
  <c r="BP48" i="8"/>
  <c r="BP58" i="8" s="1"/>
  <c r="AJ48" i="11"/>
  <c r="AJ57" i="11"/>
  <c r="EH28" i="4"/>
  <c r="EH30" i="4" s="1"/>
  <c r="EH23" i="4"/>
  <c r="O66" i="11"/>
  <c r="AF55" i="11"/>
  <c r="AF57" i="11" s="1"/>
  <c r="V48" i="11"/>
  <c r="V57" i="11"/>
  <c r="X62" i="11"/>
  <c r="X58" i="11"/>
  <c r="AF48" i="11"/>
  <c r="CZ61" i="8"/>
  <c r="CZ48" i="8"/>
  <c r="CZ58" i="8" s="1"/>
  <c r="CU61" i="8"/>
  <c r="CU48" i="8"/>
  <c r="CU58" i="8" s="1"/>
  <c r="BD48" i="8"/>
  <c r="BD58" i="8" s="1"/>
  <c r="BD61" i="8"/>
  <c r="CT28" i="7"/>
  <c r="AP47" i="12"/>
  <c r="BJ61" i="8"/>
  <c r="BJ48" i="8"/>
  <c r="AP58" i="12"/>
  <c r="DG28" i="7"/>
  <c r="AL18" i="11"/>
  <c r="AL9" i="11"/>
  <c r="CG28" i="7"/>
  <c r="DN32" i="7"/>
  <c r="DM35" i="7"/>
  <c r="DM36" i="7"/>
  <c r="DR15" i="7"/>
  <c r="DR18" i="7" s="1"/>
  <c r="DR19" i="7"/>
  <c r="DS15" i="7"/>
  <c r="DS18" i="7" s="1"/>
  <c r="DS19" i="7"/>
  <c r="BH28" i="7"/>
  <c r="CO28" i="7"/>
  <c r="CP22" i="7"/>
  <c r="CP28" i="7" s="1"/>
  <c r="AT54" i="7"/>
  <c r="BN53" i="7"/>
  <c r="BN54" i="7" s="1"/>
  <c r="BJ54" i="7"/>
  <c r="BU23" i="4"/>
  <c r="BU28" i="4"/>
  <c r="AO49" i="12"/>
  <c r="AO42" i="12"/>
  <c r="CR42" i="4"/>
  <c r="CR37" i="4"/>
  <c r="CR34" i="4"/>
  <c r="DI28" i="4"/>
  <c r="DI30" i="4" s="1"/>
  <c r="DI23" i="4"/>
  <c r="AR8" i="6"/>
  <c r="AR24" i="6" s="1"/>
  <c r="AR25" i="6" s="1"/>
  <c r="BJ22" i="4"/>
  <c r="BJ12" i="4"/>
  <c r="AR9" i="6" s="1"/>
  <c r="E11" i="4"/>
  <c r="M25" i="6"/>
  <c r="M21" i="6"/>
  <c r="M20" i="6"/>
  <c r="M19" i="6"/>
  <c r="M18" i="6"/>
  <c r="M17" i="6"/>
  <c r="M16" i="6"/>
  <c r="M15" i="6"/>
  <c r="M14" i="6"/>
  <c r="M13" i="6"/>
  <c r="M12" i="6"/>
  <c r="M24" i="6"/>
  <c r="M9" i="6"/>
  <c r="H75" i="8"/>
  <c r="H72" i="8"/>
  <c r="H69" i="8"/>
  <c r="H66" i="8"/>
  <c r="X66" i="8" s="1"/>
  <c r="H76" i="8"/>
  <c r="H73" i="8"/>
  <c r="H74" i="8"/>
  <c r="H68" i="8"/>
  <c r="H54" i="8"/>
  <c r="H57" i="8" s="1"/>
  <c r="H46" i="8"/>
  <c r="H67" i="8"/>
  <c r="X67" i="8" s="1"/>
  <c r="H41" i="8"/>
  <c r="H32" i="8"/>
  <c r="H26" i="8"/>
  <c r="H44" i="8"/>
  <c r="H38" i="8"/>
  <c r="H55" i="8"/>
  <c r="H30" i="8"/>
  <c r="H61" i="8"/>
  <c r="H42" i="8"/>
  <c r="H37" i="8"/>
  <c r="H35" i="8"/>
  <c r="H33" i="8"/>
  <c r="H27" i="8"/>
  <c r="H56" i="8"/>
  <c r="H36" i="8"/>
  <c r="H31" i="8"/>
  <c r="H19" i="8"/>
  <c r="H18" i="8"/>
  <c r="H43" i="8"/>
  <c r="H25" i="8"/>
  <c r="H16" i="8"/>
  <c r="H10" i="8"/>
  <c r="X10" i="8" s="1"/>
  <c r="H9" i="8"/>
  <c r="H59" i="8"/>
  <c r="H22" i="8"/>
  <c r="H20" i="8"/>
  <c r="H34" i="8"/>
  <c r="H14" i="8"/>
  <c r="H45" i="8"/>
  <c r="H24" i="8"/>
  <c r="H23" i="8"/>
  <c r="H17" i="8"/>
  <c r="H15" i="8"/>
  <c r="H12" i="8"/>
  <c r="H13" i="8"/>
  <c r="X13" i="8" s="1"/>
  <c r="CH22" i="4"/>
  <c r="CH12" i="4"/>
  <c r="W26" i="4"/>
  <c r="Q26" i="4"/>
  <c r="S62" i="3"/>
  <c r="S57" i="3"/>
  <c r="J72" i="8"/>
  <c r="J69" i="8"/>
  <c r="J66" i="8"/>
  <c r="J76" i="8"/>
  <c r="J73" i="8"/>
  <c r="J67" i="8"/>
  <c r="J41" i="8"/>
  <c r="J32" i="8"/>
  <c r="J26" i="8"/>
  <c r="J44" i="8"/>
  <c r="J38" i="8"/>
  <c r="J55" i="8"/>
  <c r="J30" i="8"/>
  <c r="J75" i="8"/>
  <c r="J42" i="8"/>
  <c r="J37" i="8"/>
  <c r="J35" i="8"/>
  <c r="J33" i="8"/>
  <c r="J27" i="8"/>
  <c r="J24" i="8"/>
  <c r="J59" i="8"/>
  <c r="J45" i="8"/>
  <c r="J43" i="8"/>
  <c r="J34" i="8"/>
  <c r="J25" i="8"/>
  <c r="J36" i="8"/>
  <c r="J18" i="8"/>
  <c r="J74" i="8"/>
  <c r="J16" i="8"/>
  <c r="J10" i="8"/>
  <c r="J68" i="8"/>
  <c r="J31" i="8"/>
  <c r="J22" i="8"/>
  <c r="J20" i="8"/>
  <c r="J56" i="8"/>
  <c r="J14" i="8"/>
  <c r="J46" i="8"/>
  <c r="J15" i="8"/>
  <c r="J13" i="8"/>
  <c r="J12" i="8"/>
  <c r="J17" i="8"/>
  <c r="J19" i="8"/>
  <c r="J54" i="8"/>
  <c r="J23" i="8"/>
  <c r="DR28" i="4"/>
  <c r="DR30" i="4" s="1"/>
  <c r="DR23" i="4"/>
  <c r="I58" i="4" l="1"/>
  <c r="I59" i="4" s="1"/>
  <c r="I11" i="4"/>
  <c r="AO58" i="11"/>
  <c r="AD66" i="11"/>
  <c r="AF62" i="11"/>
  <c r="AF58" i="11"/>
  <c r="J11" i="3"/>
  <c r="H11" i="3"/>
  <c r="AD13" i="8"/>
  <c r="Z32" i="8"/>
  <c r="BR51" i="7"/>
  <c r="BR52" i="7" s="1"/>
  <c r="CR44" i="4"/>
  <c r="CR39" i="4"/>
  <c r="DN36" i="7"/>
  <c r="DN35" i="7"/>
  <c r="CF42" i="4"/>
  <c r="CF37" i="4"/>
  <c r="CF34" i="4"/>
  <c r="DX42" i="4"/>
  <c r="DX37" i="4"/>
  <c r="DX34" i="4"/>
  <c r="AO24" i="15"/>
  <c r="AO26" i="15" s="1"/>
  <c r="AO9" i="15"/>
  <c r="G27" i="9"/>
  <c r="AG26" i="4"/>
  <c r="AH62" i="11"/>
  <c r="AH58" i="11"/>
  <c r="AL24" i="15"/>
  <c r="AL9" i="15"/>
  <c r="CJ8" i="6"/>
  <c r="CJ24" i="6" s="1"/>
  <c r="CJ25" i="6" s="1"/>
  <c r="CI24" i="6"/>
  <c r="CI25" i="6" s="1"/>
  <c r="I65" i="4"/>
  <c r="I66" i="4" s="1"/>
  <c r="AX9" i="7"/>
  <c r="BX30" i="4"/>
  <c r="CN23" i="4"/>
  <c r="CN28" i="4"/>
  <c r="CB61" i="8"/>
  <c r="CB48" i="8"/>
  <c r="CB58" i="8" s="1"/>
  <c r="DL42" i="4"/>
  <c r="DL37" i="4"/>
  <c r="DL34" i="4"/>
  <c r="C20" i="9"/>
  <c r="C58" i="9"/>
  <c r="C46" i="9"/>
  <c r="K76" i="4"/>
  <c r="M66" i="11"/>
  <c r="BP51" i="7"/>
  <c r="BP52" i="7" s="1"/>
  <c r="CP44" i="4"/>
  <c r="CP39" i="4"/>
  <c r="AH57" i="8"/>
  <c r="T13" i="8"/>
  <c r="O17" i="6"/>
  <c r="AM7" i="15"/>
  <c r="AM52" i="12"/>
  <c r="AM60" i="12" s="1"/>
  <c r="AA9" i="7"/>
  <c r="BA30" i="4"/>
  <c r="DT19" i="7"/>
  <c r="AE66" i="11"/>
  <c r="X57" i="8"/>
  <c r="G32" i="9"/>
  <c r="AG32" i="4"/>
  <c r="AH7" i="15"/>
  <c r="AG9" i="7"/>
  <c r="BG30" i="4"/>
  <c r="N28" i="8"/>
  <c r="AH9" i="8"/>
  <c r="AL66" i="11"/>
  <c r="J47" i="8"/>
  <c r="Z41" i="8"/>
  <c r="CH23" i="4"/>
  <c r="CH28" i="4"/>
  <c r="EH37" i="4"/>
  <c r="EH34" i="4"/>
  <c r="EH42" i="4"/>
  <c r="EE42" i="4"/>
  <c r="EE37" i="4"/>
  <c r="EE34" i="4"/>
  <c r="BF30" i="7"/>
  <c r="BF32" i="7" s="1"/>
  <c r="BF11" i="7"/>
  <c r="AO61" i="12"/>
  <c r="G30" i="9"/>
  <c r="AG29" i="4"/>
  <c r="AM29" i="4"/>
  <c r="DB48" i="8"/>
  <c r="DB58" i="8" s="1"/>
  <c r="DB61" i="8"/>
  <c r="DZ34" i="4"/>
  <c r="DZ42" i="4"/>
  <c r="DZ37" i="4"/>
  <c r="CN51" i="7"/>
  <c r="DN44" i="4"/>
  <c r="O44" i="4" s="1"/>
  <c r="DN39" i="4"/>
  <c r="O39" i="4" s="1"/>
  <c r="AG39" i="4" s="1"/>
  <c r="DN51" i="4"/>
  <c r="O51" i="4" s="1"/>
  <c r="DT42" i="4"/>
  <c r="DT34" i="4"/>
  <c r="DT37" i="4"/>
  <c r="AO66" i="11"/>
  <c r="EK42" i="4"/>
  <c r="EK37" i="4"/>
  <c r="EK34" i="4"/>
  <c r="DY37" i="4"/>
  <c r="DY34" i="4"/>
  <c r="DY42" i="4"/>
  <c r="E38" i="7"/>
  <c r="E26" i="7"/>
  <c r="E23" i="7"/>
  <c r="E27" i="7"/>
  <c r="E25" i="7"/>
  <c r="E31" i="7"/>
  <c r="E22" i="7"/>
  <c r="E13" i="7"/>
  <c r="E10" i="7"/>
  <c r="E24" i="7"/>
  <c r="E39" i="7"/>
  <c r="Q39" i="7" s="1"/>
  <c r="C12" i="9"/>
  <c r="K11" i="4"/>
  <c r="AN7" i="15"/>
  <c r="AN52" i="12"/>
  <c r="AN60" i="12" s="1"/>
  <c r="AB9" i="7"/>
  <c r="BB30" i="4"/>
  <c r="DH42" i="4"/>
  <c r="DH37" i="4"/>
  <c r="DH34" i="4"/>
  <c r="AJ7" i="15"/>
  <c r="AI9" i="7"/>
  <c r="BI30" i="4"/>
  <c r="CC24" i="6"/>
  <c r="CC25" i="6" s="1"/>
  <c r="CD8" i="6"/>
  <c r="CD24" i="6" s="1"/>
  <c r="CD25" i="6" s="1"/>
  <c r="DM42" i="4"/>
  <c r="DM37" i="4"/>
  <c r="DM34" i="4"/>
  <c r="T10" i="8"/>
  <c r="D47" i="8"/>
  <c r="P36" i="8"/>
  <c r="O18" i="6"/>
  <c r="AR9" i="7"/>
  <c r="BR30" i="4"/>
  <c r="CB28" i="4"/>
  <c r="CB23" i="4"/>
  <c r="AM42" i="12"/>
  <c r="AM49" i="12"/>
  <c r="DD51" i="7"/>
  <c r="ED44" i="4"/>
  <c r="ED39" i="4"/>
  <c r="BB54" i="7"/>
  <c r="AL16" i="12"/>
  <c r="CO24" i="6"/>
  <c r="CO25" i="6" s="1"/>
  <c r="CP8" i="6"/>
  <c r="CP24" i="6" s="1"/>
  <c r="CP25" i="6" s="1"/>
  <c r="AI7" i="15"/>
  <c r="AH9" i="7"/>
  <c r="BH30" i="4"/>
  <c r="M61" i="4"/>
  <c r="M42" i="4"/>
  <c r="AE42" i="4" s="1"/>
  <c r="M63" i="4"/>
  <c r="M50" i="4"/>
  <c r="M56" i="4"/>
  <c r="M49" i="4"/>
  <c r="M57" i="4"/>
  <c r="M48" i="4"/>
  <c r="E47" i="9" s="1"/>
  <c r="M64" i="4"/>
  <c r="M43" i="4"/>
  <c r="AE43" i="4" s="1"/>
  <c r="M29" i="4"/>
  <c r="M38" i="4"/>
  <c r="AE38" i="4" s="1"/>
  <c r="M32" i="4"/>
  <c r="M37" i="4"/>
  <c r="AE37" i="4" s="1"/>
  <c r="M47" i="4"/>
  <c r="M62" i="4"/>
  <c r="M19" i="4"/>
  <c r="E21" i="9" s="1"/>
  <c r="M26" i="4"/>
  <c r="M9" i="4"/>
  <c r="M17" i="4"/>
  <c r="E19" i="9" s="1"/>
  <c r="M16" i="4"/>
  <c r="M18" i="4"/>
  <c r="E20" i="9" s="1"/>
  <c r="M10" i="4"/>
  <c r="AS10" i="4" s="1"/>
  <c r="AR10" i="4" s="1"/>
  <c r="Z46" i="8"/>
  <c r="AD10" i="8"/>
  <c r="E22" i="4"/>
  <c r="E12" i="4"/>
  <c r="E72" i="4"/>
  <c r="AJ62" i="11"/>
  <c r="AJ58" i="11"/>
  <c r="DD23" i="4"/>
  <c r="DD28" i="4"/>
  <c r="DD30" i="4" s="1"/>
  <c r="DG51" i="7"/>
  <c r="EG44" i="4"/>
  <c r="EG39" i="4"/>
  <c r="G12" i="9"/>
  <c r="G14" i="9" s="1"/>
  <c r="O11" i="4"/>
  <c r="B66" i="11"/>
  <c r="AI58" i="11"/>
  <c r="AI62" i="11"/>
  <c r="G22" i="6"/>
  <c r="G56" i="7" s="1"/>
  <c r="G57" i="7" s="1"/>
  <c r="EF42" i="4"/>
  <c r="EF37" i="4"/>
  <c r="EF34" i="4"/>
  <c r="AK22" i="15"/>
  <c r="EN42" i="4"/>
  <c r="EN37" i="4"/>
  <c r="EN34" i="4"/>
  <c r="DO37" i="4"/>
  <c r="DO34" i="4"/>
  <c r="DO42" i="4"/>
  <c r="E40" i="1"/>
  <c r="E38" i="1"/>
  <c r="E39" i="1" s="1"/>
  <c r="E33" i="1"/>
  <c r="E34" i="1"/>
  <c r="E21" i="1"/>
  <c r="E66" i="11"/>
  <c r="DU23" i="4"/>
  <c r="DU28" i="4"/>
  <c r="DU30" i="4" s="1"/>
  <c r="CV44" i="4"/>
  <c r="CV39" i="4"/>
  <c r="K25" i="6"/>
  <c r="K9" i="6"/>
  <c r="K21" i="6"/>
  <c r="K20" i="6"/>
  <c r="K19" i="6"/>
  <c r="K18" i="6"/>
  <c r="K17" i="6"/>
  <c r="K16" i="6"/>
  <c r="K15" i="6"/>
  <c r="K14" i="6"/>
  <c r="K31" i="6" s="1"/>
  <c r="K13" i="6"/>
  <c r="K12" i="6"/>
  <c r="K8" i="6"/>
  <c r="K24" i="6"/>
  <c r="C13" i="9"/>
  <c r="I29" i="6"/>
  <c r="K58" i="4"/>
  <c r="K59" i="4" s="1"/>
  <c r="N47" i="8"/>
  <c r="AH47" i="8" s="1"/>
  <c r="N39" i="8"/>
  <c r="AH39" i="8" s="1"/>
  <c r="AY9" i="7"/>
  <c r="BY30" i="4"/>
  <c r="AK48" i="11"/>
  <c r="AK57" i="11"/>
  <c r="P16" i="8"/>
  <c r="T67" i="8"/>
  <c r="U8" i="6"/>
  <c r="U19" i="6"/>
  <c r="DP34" i="4"/>
  <c r="DP42" i="4"/>
  <c r="DP37" i="4"/>
  <c r="DR42" i="4"/>
  <c r="DR37" i="4"/>
  <c r="DR34" i="4"/>
  <c r="DI42" i="4"/>
  <c r="DI34" i="4"/>
  <c r="DI37" i="4"/>
  <c r="K61" i="16"/>
  <c r="L60" i="16" s="1"/>
  <c r="P59" i="8"/>
  <c r="AP15" i="12"/>
  <c r="AP10" i="12"/>
  <c r="Z59" i="8"/>
  <c r="J39" i="8"/>
  <c r="Z30" i="8"/>
  <c r="AD67" i="8"/>
  <c r="M8" i="6"/>
  <c r="AL19" i="11"/>
  <c r="AL23" i="11"/>
  <c r="AL27" i="11" s="1"/>
  <c r="AL31" i="11" s="1"/>
  <c r="R66" i="11"/>
  <c r="M28" i="7"/>
  <c r="M46" i="7" s="1"/>
  <c r="G13" i="9"/>
  <c r="M29" i="6"/>
  <c r="AO16" i="12"/>
  <c r="DF37" i="4"/>
  <c r="DF34" i="4"/>
  <c r="DF42" i="4"/>
  <c r="J10" i="3"/>
  <c r="H10" i="3"/>
  <c r="AP62" i="11"/>
  <c r="AP58" i="11"/>
  <c r="AG7" i="15"/>
  <c r="AF9" i="7"/>
  <c r="BF30" i="4"/>
  <c r="AS9" i="7"/>
  <c r="BS30" i="4"/>
  <c r="AN19" i="11"/>
  <c r="AN23" i="11"/>
  <c r="AN27" i="11" s="1"/>
  <c r="AN31" i="11" s="1"/>
  <c r="J66" i="11"/>
  <c r="DG28" i="4"/>
  <c r="DG30" i="4" s="1"/>
  <c r="DG23" i="4"/>
  <c r="G62" i="4"/>
  <c r="G57" i="4"/>
  <c r="G48" i="4"/>
  <c r="Y48" i="4" s="1"/>
  <c r="G64" i="4"/>
  <c r="G61" i="4"/>
  <c r="G50" i="4"/>
  <c r="G56" i="4"/>
  <c r="G47" i="4"/>
  <c r="G76" i="4" s="1"/>
  <c r="G26" i="4"/>
  <c r="G43" i="4"/>
  <c r="S43" i="4" s="1"/>
  <c r="G49" i="4"/>
  <c r="G19" i="4"/>
  <c r="G18" i="4"/>
  <c r="G63" i="4"/>
  <c r="G10" i="4"/>
  <c r="G9" i="4"/>
  <c r="G32" i="4"/>
  <c r="G38" i="4"/>
  <c r="G29" i="4"/>
  <c r="G17" i="4"/>
  <c r="G16" i="4"/>
  <c r="F75" i="8"/>
  <c r="R75" i="8" s="1"/>
  <c r="F72" i="8"/>
  <c r="R72" i="8" s="1"/>
  <c r="F69" i="8"/>
  <c r="R69" i="8" s="1"/>
  <c r="F66" i="8"/>
  <c r="F76" i="8"/>
  <c r="R76" i="8" s="1"/>
  <c r="F73" i="8"/>
  <c r="R73" i="8" s="1"/>
  <c r="F43" i="8"/>
  <c r="R43" i="8" s="1"/>
  <c r="F34" i="8"/>
  <c r="R34" i="8" s="1"/>
  <c r="F25" i="8"/>
  <c r="R25" i="8" s="1"/>
  <c r="F74" i="8"/>
  <c r="R74" i="8" s="1"/>
  <c r="F68" i="8"/>
  <c r="R68" i="8" s="1"/>
  <c r="F54" i="8"/>
  <c r="F46" i="8"/>
  <c r="R46" i="8" s="1"/>
  <c r="F67" i="8"/>
  <c r="F41" i="8"/>
  <c r="P41" i="8" s="1"/>
  <c r="F32" i="8"/>
  <c r="R32" i="8" s="1"/>
  <c r="F44" i="8"/>
  <c r="R44" i="8" s="1"/>
  <c r="F38" i="8"/>
  <c r="R38" i="8" s="1"/>
  <c r="F55" i="8"/>
  <c r="R55" i="8" s="1"/>
  <c r="F30" i="8"/>
  <c r="P30" i="8" s="1"/>
  <c r="F59" i="8"/>
  <c r="R59" i="8" s="1"/>
  <c r="F45" i="8"/>
  <c r="R45" i="8" s="1"/>
  <c r="F15" i="8"/>
  <c r="R15" i="8" s="1"/>
  <c r="F13" i="8"/>
  <c r="F12" i="8"/>
  <c r="R12" i="8" s="1"/>
  <c r="F37" i="8"/>
  <c r="R37" i="8" s="1"/>
  <c r="F36" i="8"/>
  <c r="R36" i="8" s="1"/>
  <c r="F19" i="8"/>
  <c r="R19" i="8" s="1"/>
  <c r="F61" i="8"/>
  <c r="F42" i="8"/>
  <c r="R42" i="8" s="1"/>
  <c r="F18" i="8"/>
  <c r="R18" i="8" s="1"/>
  <c r="F31" i="8"/>
  <c r="R31" i="8" s="1"/>
  <c r="F16" i="8"/>
  <c r="R16" i="8" s="1"/>
  <c r="F10" i="8"/>
  <c r="F56" i="8"/>
  <c r="R56" i="8" s="1"/>
  <c r="F35" i="8"/>
  <c r="R35" i="8" s="1"/>
  <c r="F33" i="8"/>
  <c r="R33" i="8" s="1"/>
  <c r="F27" i="8"/>
  <c r="R27" i="8" s="1"/>
  <c r="F22" i="8"/>
  <c r="F20" i="8"/>
  <c r="R20" i="8" s="1"/>
  <c r="F26" i="8"/>
  <c r="R26" i="8" s="1"/>
  <c r="F17" i="8"/>
  <c r="R17" i="8" s="1"/>
  <c r="F14" i="8"/>
  <c r="R14" i="8" s="1"/>
  <c r="F9" i="8"/>
  <c r="F23" i="8"/>
  <c r="R23" i="8" s="1"/>
  <c r="F24" i="8"/>
  <c r="R24" i="8" s="1"/>
  <c r="C21" i="9"/>
  <c r="I21" i="9" s="1"/>
  <c r="J21" i="9" s="1"/>
  <c r="C27" i="9"/>
  <c r="AS26" i="4"/>
  <c r="AR26" i="4" s="1"/>
  <c r="AC26" i="4"/>
  <c r="AN42" i="12"/>
  <c r="AN49" i="12"/>
  <c r="AM9" i="7"/>
  <c r="BM30" i="4"/>
  <c r="DJ42" i="4"/>
  <c r="DJ37" i="4"/>
  <c r="DJ34" i="4"/>
  <c r="P45" i="8"/>
  <c r="D39" i="8"/>
  <c r="P76" i="8"/>
  <c r="P46" i="8"/>
  <c r="T66" i="8"/>
  <c r="P66" i="8"/>
  <c r="O12" i="6"/>
  <c r="C22" i="6"/>
  <c r="BG9" i="7"/>
  <c r="CG30" i="4"/>
  <c r="AJ54" i="7"/>
  <c r="Z25" i="8"/>
  <c r="AD66" i="8"/>
  <c r="AT9" i="7"/>
  <c r="BT30" i="4"/>
  <c r="K39" i="7"/>
  <c r="K24" i="7"/>
  <c r="K25" i="7"/>
  <c r="K23" i="7"/>
  <c r="K10" i="7"/>
  <c r="K31" i="7"/>
  <c r="K26" i="7"/>
  <c r="K38" i="7"/>
  <c r="K22" i="7"/>
  <c r="K27" i="7"/>
  <c r="K13" i="7"/>
  <c r="BP30" i="4"/>
  <c r="P26" i="8"/>
  <c r="Z54" i="8"/>
  <c r="J57" i="8"/>
  <c r="Z55" i="8"/>
  <c r="H80" i="8"/>
  <c r="X80" i="8" s="1"/>
  <c r="H47" i="8"/>
  <c r="X47" i="8" s="1"/>
  <c r="M22" i="6"/>
  <c r="M56" i="7" s="1"/>
  <c r="M57" i="7" s="1"/>
  <c r="BJ28" i="4"/>
  <c r="BJ23" i="4"/>
  <c r="E12" i="3"/>
  <c r="L13" i="3"/>
  <c r="C12" i="3"/>
  <c r="ET28" i="4"/>
  <c r="ET30" i="4" s="1"/>
  <c r="ET23" i="4"/>
  <c r="G18" i="9"/>
  <c r="G22" i="9" s="1"/>
  <c r="O20" i="4"/>
  <c r="M30" i="6" s="1"/>
  <c r="I22" i="6"/>
  <c r="I56" i="7" s="1"/>
  <c r="I57" i="7" s="1"/>
  <c r="G31" i="6"/>
  <c r="AL6" i="13"/>
  <c r="AZ42" i="4"/>
  <c r="AL34" i="11" s="1"/>
  <c r="AZ37" i="4"/>
  <c r="AZ34" i="4"/>
  <c r="I12" i="4"/>
  <c r="BV63" i="8"/>
  <c r="EB28" i="4"/>
  <c r="EB30" i="4" s="1"/>
  <c r="EB23" i="4"/>
  <c r="AA66" i="11"/>
  <c r="EJ34" i="4"/>
  <c r="EJ42" i="4"/>
  <c r="EJ37" i="4"/>
  <c r="BV28" i="4"/>
  <c r="BV23" i="4"/>
  <c r="L66" i="8"/>
  <c r="L76" i="8"/>
  <c r="AB76" i="8" s="1"/>
  <c r="L73" i="8"/>
  <c r="AB73" i="8" s="1"/>
  <c r="L67" i="8"/>
  <c r="L61" i="8"/>
  <c r="L74" i="8"/>
  <c r="AB74" i="8" s="1"/>
  <c r="L68" i="8"/>
  <c r="AB68" i="8" s="1"/>
  <c r="L44" i="8"/>
  <c r="AB44" i="8" s="1"/>
  <c r="L38" i="8"/>
  <c r="AB38" i="8" s="1"/>
  <c r="L55" i="8"/>
  <c r="AB55" i="8" s="1"/>
  <c r="L30" i="8"/>
  <c r="L75" i="8"/>
  <c r="AB75" i="8" s="1"/>
  <c r="L72" i="8"/>
  <c r="AB72" i="8" s="1"/>
  <c r="L42" i="8"/>
  <c r="AB42" i="8" s="1"/>
  <c r="L37" i="8"/>
  <c r="AB37" i="8" s="1"/>
  <c r="L35" i="8"/>
  <c r="AB35" i="8" s="1"/>
  <c r="L33" i="8"/>
  <c r="AB33" i="8" s="1"/>
  <c r="L27" i="8"/>
  <c r="AB27" i="8" s="1"/>
  <c r="L69" i="8"/>
  <c r="AB69" i="8" s="1"/>
  <c r="L59" i="8"/>
  <c r="AB59" i="8" s="1"/>
  <c r="L45" i="8"/>
  <c r="AB45" i="8" s="1"/>
  <c r="L56" i="8"/>
  <c r="AB56" i="8" s="1"/>
  <c r="L36" i="8"/>
  <c r="AB36" i="8" s="1"/>
  <c r="L31" i="8"/>
  <c r="AB31" i="8" s="1"/>
  <c r="L54" i="8"/>
  <c r="L46" i="8"/>
  <c r="AB46" i="8" s="1"/>
  <c r="L16" i="8"/>
  <c r="AB16" i="8" s="1"/>
  <c r="L10" i="8"/>
  <c r="Z10" i="8" s="1"/>
  <c r="L9" i="8"/>
  <c r="L43" i="8"/>
  <c r="AB43" i="8" s="1"/>
  <c r="L25" i="8"/>
  <c r="AB25" i="8" s="1"/>
  <c r="L22" i="8"/>
  <c r="L20" i="8"/>
  <c r="AB20" i="8" s="1"/>
  <c r="L41" i="8"/>
  <c r="L14" i="8"/>
  <c r="AB14" i="8" s="1"/>
  <c r="L34" i="8"/>
  <c r="AB34" i="8" s="1"/>
  <c r="L32" i="8"/>
  <c r="AB32" i="8" s="1"/>
  <c r="L23" i="8"/>
  <c r="AB23" i="8" s="1"/>
  <c r="L17" i="8"/>
  <c r="AB17" i="8" s="1"/>
  <c r="L19" i="8"/>
  <c r="AB19" i="8" s="1"/>
  <c r="L26" i="8"/>
  <c r="AB26" i="8" s="1"/>
  <c r="L18" i="8"/>
  <c r="AB18" i="8" s="1"/>
  <c r="L24" i="8"/>
  <c r="AB24" i="8" s="1"/>
  <c r="L15" i="8"/>
  <c r="AB15" i="8" s="1"/>
  <c r="L13" i="8"/>
  <c r="L12" i="8"/>
  <c r="AB12" i="8" s="1"/>
  <c r="C32" i="9"/>
  <c r="AS32" i="4"/>
  <c r="AR32" i="4" s="1"/>
  <c r="AC32" i="4"/>
  <c r="AP9" i="11"/>
  <c r="AP18" i="11"/>
  <c r="DV23" i="4"/>
  <c r="DV28" i="4"/>
  <c r="DV30" i="4" s="1"/>
  <c r="AZ9" i="7"/>
  <c r="BZ30" i="4"/>
  <c r="D80" i="8"/>
  <c r="T80" i="8" s="1"/>
  <c r="P22" i="8"/>
  <c r="P18" i="8"/>
  <c r="P38" i="8"/>
  <c r="D57" i="8"/>
  <c r="P54" i="8"/>
  <c r="P69" i="8"/>
  <c r="O21" i="6"/>
  <c r="CZ34" i="4"/>
  <c r="CZ37" i="4"/>
  <c r="Q66" i="11"/>
  <c r="DB37" i="4"/>
  <c r="K37" i="4" s="1"/>
  <c r="DB34" i="4"/>
  <c r="EL34" i="4"/>
  <c r="EL37" i="4"/>
  <c r="EL42" i="4"/>
  <c r="V62" i="11"/>
  <c r="V58" i="11"/>
  <c r="DC37" i="4"/>
  <c r="DC34" i="4"/>
  <c r="AP52" i="12"/>
  <c r="AP60" i="12" s="1"/>
  <c r="AL60" i="12"/>
  <c r="CP61" i="8"/>
  <c r="CP84" i="8"/>
  <c r="CP48" i="8"/>
  <c r="CP58" i="8" s="1"/>
  <c r="BX63" i="8"/>
  <c r="Z20" i="8"/>
  <c r="Z27" i="8"/>
  <c r="Z38" i="8"/>
  <c r="AO50" i="12"/>
  <c r="Z66" i="11"/>
  <c r="AL50" i="12"/>
  <c r="AO6" i="13"/>
  <c r="AO9" i="13" s="1"/>
  <c r="AO11" i="13" s="1"/>
  <c r="AO17" i="13" s="1"/>
  <c r="BC42" i="4"/>
  <c r="AO34" i="11" s="1"/>
  <c r="BC37" i="4"/>
  <c r="BC34" i="4"/>
  <c r="DM51" i="7"/>
  <c r="DM52" i="7" s="1"/>
  <c r="EM44" i="4"/>
  <c r="EM39" i="4"/>
  <c r="AB62" i="11"/>
  <c r="AB58" i="11"/>
  <c r="Z30" i="7"/>
  <c r="Z32" i="7" s="1"/>
  <c r="CA9" i="7"/>
  <c r="BZ9" i="7"/>
  <c r="CC9" i="7"/>
  <c r="Z11" i="7"/>
  <c r="G29" i="6"/>
  <c r="U26" i="4"/>
  <c r="AA26" i="4"/>
  <c r="AN16" i="12"/>
  <c r="CK34" i="4"/>
  <c r="CK42" i="4"/>
  <c r="CK37" i="4"/>
  <c r="DL19" i="7"/>
  <c r="E24" i="6"/>
  <c r="U24" i="6" s="1"/>
  <c r="E9" i="6"/>
  <c r="E25" i="6"/>
  <c r="O25" i="6" s="1"/>
  <c r="E8" i="6"/>
  <c r="O8" i="6" s="1"/>
  <c r="E21" i="6"/>
  <c r="U21" i="6" s="1"/>
  <c r="E17" i="6"/>
  <c r="E13" i="6"/>
  <c r="O13" i="6" s="1"/>
  <c r="E18" i="6"/>
  <c r="E14" i="6"/>
  <c r="E20" i="6"/>
  <c r="U20" i="6" s="1"/>
  <c r="E16" i="6"/>
  <c r="O16" i="6" s="1"/>
  <c r="E12" i="6"/>
  <c r="U12" i="6" s="1"/>
  <c r="E19" i="6"/>
  <c r="O19" i="6" s="1"/>
  <c r="E15" i="6"/>
  <c r="C18" i="9"/>
  <c r="K20" i="4"/>
  <c r="AS38" i="4"/>
  <c r="AR38" i="4" s="1"/>
  <c r="AC38" i="4"/>
  <c r="DA42" i="4"/>
  <c r="DA34" i="4"/>
  <c r="DA37" i="4"/>
  <c r="ES34" i="4"/>
  <c r="ES37" i="4"/>
  <c r="ES42" i="4"/>
  <c r="CM30" i="4"/>
  <c r="AL9" i="7"/>
  <c r="BL30" i="4"/>
  <c r="AM16" i="12"/>
  <c r="BQ51" i="7"/>
  <c r="BQ52" i="7" s="1"/>
  <c r="CQ44" i="4"/>
  <c r="CQ39" i="4"/>
  <c r="P55" i="8"/>
  <c r="P44" i="8"/>
  <c r="P72" i="8"/>
  <c r="C31" i="6"/>
  <c r="U9" i="6"/>
  <c r="O9" i="6"/>
  <c r="CL30" i="4"/>
  <c r="AN9" i="7"/>
  <c r="BN30" i="4"/>
  <c r="EA42" i="4"/>
  <c r="EA37" i="4"/>
  <c r="EA34" i="4"/>
  <c r="C30" i="6"/>
  <c r="E74" i="4"/>
  <c r="AC66" i="11"/>
  <c r="Z17" i="8"/>
  <c r="J80" i="8"/>
  <c r="Z36" i="8"/>
  <c r="Z33" i="8"/>
  <c r="Z76" i="8"/>
  <c r="H79" i="8"/>
  <c r="X9" i="8"/>
  <c r="H28" i="8"/>
  <c r="H39" i="8"/>
  <c r="X39" i="8" s="1"/>
  <c r="M31" i="6"/>
  <c r="AU9" i="7"/>
  <c r="BU30" i="4"/>
  <c r="X66" i="11"/>
  <c r="AP49" i="12"/>
  <c r="AP42" i="12"/>
  <c r="CJ30" i="4"/>
  <c r="BA9" i="7"/>
  <c r="CA30" i="4"/>
  <c r="AC11" i="7"/>
  <c r="AC30" i="7"/>
  <c r="AC32" i="7" s="1"/>
  <c r="AN62" i="11"/>
  <c r="AN58" i="11"/>
  <c r="I31" i="6"/>
  <c r="I20" i="4"/>
  <c r="G30" i="6" s="1"/>
  <c r="AA29" i="4"/>
  <c r="U29" i="4"/>
  <c r="BE9" i="7"/>
  <c r="CE30" i="4"/>
  <c r="BH54" i="7"/>
  <c r="CP82" i="8"/>
  <c r="C19" i="9"/>
  <c r="I19" i="9" s="1"/>
  <c r="J19" i="9" s="1"/>
  <c r="AS17" i="4"/>
  <c r="AR17" i="4" s="1"/>
  <c r="C30" i="9"/>
  <c r="AS29" i="4"/>
  <c r="AR29" i="4" s="1"/>
  <c r="AC29" i="4"/>
  <c r="AI29" i="4"/>
  <c r="K65" i="4"/>
  <c r="K66" i="4" s="1"/>
  <c r="BD9" i="7"/>
  <c r="CD30" i="4"/>
  <c r="AG66" i="11"/>
  <c r="BD37" i="4"/>
  <c r="BD34" i="4"/>
  <c r="U66" i="11"/>
  <c r="P19" i="8"/>
  <c r="P33" i="8"/>
  <c r="P73" i="8"/>
  <c r="P34" i="8"/>
  <c r="O15" i="6"/>
  <c r="U15" i="6"/>
  <c r="O24" i="6"/>
  <c r="AO9" i="7"/>
  <c r="BO30" i="4"/>
  <c r="DS34" i="4"/>
  <c r="DS42" i="4"/>
  <c r="DS37" i="4"/>
  <c r="AS19" i="4" l="1"/>
  <c r="AR19" i="4" s="1"/>
  <c r="M58" i="4"/>
  <c r="O26" i="6"/>
  <c r="O27" i="6" s="1"/>
  <c r="E31" i="6"/>
  <c r="W14" i="6"/>
  <c r="Q14" i="6"/>
  <c r="CI51" i="7"/>
  <c r="DI39" i="4"/>
  <c r="DI51" i="4"/>
  <c r="DI44" i="4"/>
  <c r="CO51" i="7"/>
  <c r="DO39" i="4"/>
  <c r="DO51" i="4"/>
  <c r="DO44" i="4"/>
  <c r="E18" i="9"/>
  <c r="E22" i="9" s="1"/>
  <c r="M20" i="4"/>
  <c r="E58" i="9"/>
  <c r="E46" i="9"/>
  <c r="M76" i="4"/>
  <c r="BH34" i="4"/>
  <c r="BH42" i="4"/>
  <c r="G42" i="4" s="1"/>
  <c r="S42" i="4" s="1"/>
  <c r="BH37" i="4"/>
  <c r="G37" i="4" s="1"/>
  <c r="S37" i="4" s="1"/>
  <c r="AB30" i="7"/>
  <c r="AB32" i="7" s="1"/>
  <c r="AB11" i="7"/>
  <c r="C9" i="7"/>
  <c r="CY51" i="7"/>
  <c r="DY39" i="4"/>
  <c r="DY44" i="4"/>
  <c r="CX9" i="7"/>
  <c r="AX30" i="7"/>
  <c r="AX32" i="7" s="1"/>
  <c r="BB9" i="7"/>
  <c r="AX11" i="7"/>
  <c r="DA9" i="7"/>
  <c r="CZ9" i="7"/>
  <c r="CY9" i="7"/>
  <c r="AL26" i="15"/>
  <c r="P20" i="8"/>
  <c r="BU42" i="4"/>
  <c r="BU34" i="4"/>
  <c r="BU37" i="4"/>
  <c r="DA51" i="7"/>
  <c r="EA44" i="4"/>
  <c r="EA39" i="4"/>
  <c r="P27" i="8"/>
  <c r="AS16" i="4"/>
  <c r="AR16" i="4" s="1"/>
  <c r="W18" i="6"/>
  <c r="Q18" i="6"/>
  <c r="BZ30" i="7"/>
  <c r="BZ32" i="7" s="1"/>
  <c r="BZ11" i="7"/>
  <c r="BZ15" i="7" s="1"/>
  <c r="Z19" i="8"/>
  <c r="CB51" i="7"/>
  <c r="DB48" i="4"/>
  <c r="DB51" i="4"/>
  <c r="K51" i="4" s="1"/>
  <c r="DB39" i="4"/>
  <c r="K39" i="4" s="1"/>
  <c r="DB44" i="4"/>
  <c r="K44" i="4" s="1"/>
  <c r="P24" i="8"/>
  <c r="DV37" i="4"/>
  <c r="DV34" i="4"/>
  <c r="DV42" i="4"/>
  <c r="C38" i="9"/>
  <c r="I38" i="9" s="1"/>
  <c r="J38" i="9" s="1"/>
  <c r="Z51" i="7"/>
  <c r="Z52" i="7" s="1"/>
  <c r="AN9" i="8"/>
  <c r="Z15" i="7"/>
  <c r="AZ44" i="4"/>
  <c r="AZ48" i="4"/>
  <c r="AZ39" i="4"/>
  <c r="AZ51" i="4"/>
  <c r="Z24" i="8"/>
  <c r="BP37" i="4"/>
  <c r="BP34" i="4"/>
  <c r="BP42" i="4"/>
  <c r="F80" i="8"/>
  <c r="V80" i="8" s="1"/>
  <c r="R22" i="8"/>
  <c r="G20" i="4"/>
  <c r="S16" i="4"/>
  <c r="Y16" i="4"/>
  <c r="W16" i="4"/>
  <c r="Q16" i="4"/>
  <c r="AP16" i="4"/>
  <c r="AO16" i="4" s="1"/>
  <c r="G58" i="4"/>
  <c r="G59" i="4" s="1"/>
  <c r="AG24" i="15"/>
  <c r="AK7" i="15"/>
  <c r="AK9" i="15" s="1"/>
  <c r="AG9" i="15"/>
  <c r="AD39" i="8"/>
  <c r="P12" i="8"/>
  <c r="AK58" i="11"/>
  <c r="AK62" i="11"/>
  <c r="AH30" i="7"/>
  <c r="AH32" i="7" s="1"/>
  <c r="AH11" i="7"/>
  <c r="P74" i="8"/>
  <c r="CM51" i="7"/>
  <c r="DM51" i="4"/>
  <c r="DM44" i="4"/>
  <c r="DM39" i="4"/>
  <c r="AJ24" i="15"/>
  <c r="AJ26" i="15" s="1"/>
  <c r="AJ9" i="15"/>
  <c r="CT51" i="7"/>
  <c r="DT44" i="4"/>
  <c r="DT39" i="4"/>
  <c r="CZ51" i="7"/>
  <c r="DZ44" i="4"/>
  <c r="DZ39" i="4"/>
  <c r="DH51" i="7"/>
  <c r="EH39" i="4"/>
  <c r="EH44" i="4"/>
  <c r="J91" i="8"/>
  <c r="AD47" i="8"/>
  <c r="AM6" i="13"/>
  <c r="AM9" i="13" s="1"/>
  <c r="AM11" i="13" s="1"/>
  <c r="AM17" i="13" s="1"/>
  <c r="BA34" i="4"/>
  <c r="BA37" i="4"/>
  <c r="P68" i="8"/>
  <c r="CX51" i="7"/>
  <c r="DX44" i="4"/>
  <c r="DX39" i="4"/>
  <c r="Z37" i="8"/>
  <c r="BZ51" i="7"/>
  <c r="BZ52" i="7" s="1"/>
  <c r="CZ39" i="4"/>
  <c r="CZ48" i="4"/>
  <c r="CZ44" i="4" s="1"/>
  <c r="CZ51" i="4"/>
  <c r="C22" i="9"/>
  <c r="I22" i="9" s="1"/>
  <c r="J22" i="9" s="1"/>
  <c r="I18" i="9"/>
  <c r="J18" i="9" s="1"/>
  <c r="CC51" i="7"/>
  <c r="DC51" i="4"/>
  <c r="DC48" i="4"/>
  <c r="DC44" i="4" s="1"/>
  <c r="DC39" i="4"/>
  <c r="BV30" i="4"/>
  <c r="AI66" i="11"/>
  <c r="E12" i="9"/>
  <c r="M11" i="4"/>
  <c r="AS11" i="4" s="1"/>
  <c r="AR11" i="4" s="1"/>
  <c r="CB30" i="4"/>
  <c r="CH51" i="7"/>
  <c r="DH44" i="4"/>
  <c r="M44" i="4" s="1"/>
  <c r="DH39" i="4"/>
  <c r="M39" i="4" s="1"/>
  <c r="AE39" i="4" s="1"/>
  <c r="DH51" i="4"/>
  <c r="M51" i="4" s="1"/>
  <c r="AN61" i="12"/>
  <c r="DK51" i="7"/>
  <c r="DK52" i="7" s="1"/>
  <c r="EK44" i="4"/>
  <c r="EK39" i="4"/>
  <c r="Z42" i="8"/>
  <c r="N84" i="8"/>
  <c r="AH28" i="8"/>
  <c r="N48" i="8"/>
  <c r="AA30" i="7"/>
  <c r="AA32" i="7" s="1"/>
  <c r="AA11" i="7"/>
  <c r="P31" i="8"/>
  <c r="AH66" i="11"/>
  <c r="Z34" i="8"/>
  <c r="Z26" i="8"/>
  <c r="H81" i="8"/>
  <c r="H82" i="8" s="1"/>
  <c r="X79" i="8"/>
  <c r="W24" i="6"/>
  <c r="Q24" i="6"/>
  <c r="AP61" i="12"/>
  <c r="C56" i="7"/>
  <c r="C57" i="7" s="1"/>
  <c r="U22" i="6"/>
  <c r="T39" i="8"/>
  <c r="V13" i="8"/>
  <c r="R13" i="8"/>
  <c r="Z74" i="8"/>
  <c r="CE42" i="4"/>
  <c r="CE34" i="4"/>
  <c r="CE37" i="4"/>
  <c r="U14" i="6"/>
  <c r="BL42" i="4"/>
  <c r="BL34" i="4"/>
  <c r="BL37" i="4"/>
  <c r="W15" i="6"/>
  <c r="Q15" i="6"/>
  <c r="W17" i="6"/>
  <c r="Q17" i="6"/>
  <c r="Z35" i="7"/>
  <c r="Z36" i="7"/>
  <c r="U13" i="6"/>
  <c r="AP23" i="11"/>
  <c r="AP27" i="11" s="1"/>
  <c r="AP31" i="11" s="1"/>
  <c r="AP19" i="11"/>
  <c r="AF13" i="8"/>
  <c r="AB13" i="8"/>
  <c r="L79" i="8"/>
  <c r="L28" i="8"/>
  <c r="AB9" i="8"/>
  <c r="AF9" i="8"/>
  <c r="L93" i="8"/>
  <c r="AB61" i="8"/>
  <c r="EB42" i="4"/>
  <c r="EB34" i="4"/>
  <c r="EB37" i="4"/>
  <c r="BJ30" i="4"/>
  <c r="Z56" i="8"/>
  <c r="BT42" i="4"/>
  <c r="BT34" i="4"/>
  <c r="BT37" i="4"/>
  <c r="CG37" i="4"/>
  <c r="CG34" i="4"/>
  <c r="CG42" i="4"/>
  <c r="CJ51" i="7"/>
  <c r="DJ51" i="4"/>
  <c r="DJ44" i="4"/>
  <c r="DJ39" i="4"/>
  <c r="AN50" i="12"/>
  <c r="R61" i="8"/>
  <c r="F93" i="8"/>
  <c r="R67" i="8"/>
  <c r="V67" i="8"/>
  <c r="Y29" i="4"/>
  <c r="S29" i="4"/>
  <c r="A29" i="4" s="1"/>
  <c r="AP29" i="4"/>
  <c r="AO29" i="4" s="1"/>
  <c r="Y19" i="4"/>
  <c r="S19" i="4"/>
  <c r="AP19" i="4"/>
  <c r="AO19" i="4" s="1"/>
  <c r="W19" i="4"/>
  <c r="Q19" i="4"/>
  <c r="BS42" i="4"/>
  <c r="BS37" i="4"/>
  <c r="BS34" i="4"/>
  <c r="AP66" i="11"/>
  <c r="Z16" i="8"/>
  <c r="BY42" i="4"/>
  <c r="BY37" i="4"/>
  <c r="BY34" i="4"/>
  <c r="I13" i="9"/>
  <c r="J13" i="9" s="1"/>
  <c r="U16" i="6"/>
  <c r="E27" i="9"/>
  <c r="AE26" i="4"/>
  <c r="E32" i="9"/>
  <c r="I32" i="9" s="1"/>
  <c r="J32" i="9" s="1"/>
  <c r="AE32" i="4"/>
  <c r="M59" i="4"/>
  <c r="AI24" i="15"/>
  <c r="AI26" i="15" s="1"/>
  <c r="AI9" i="15"/>
  <c r="AN9" i="15"/>
  <c r="AN24" i="15"/>
  <c r="AN26" i="15" s="1"/>
  <c r="Z43" i="8"/>
  <c r="BG37" i="4"/>
  <c r="BG34" i="4"/>
  <c r="BG42" i="4"/>
  <c r="P32" i="8"/>
  <c r="C59" i="9"/>
  <c r="CB63" i="8"/>
  <c r="P39" i="7"/>
  <c r="Z68" i="8"/>
  <c r="Z12" i="8"/>
  <c r="L80" i="8"/>
  <c r="AB22" i="8"/>
  <c r="AB66" i="8"/>
  <c r="AF66" i="8"/>
  <c r="CA30" i="7"/>
  <c r="CA32" i="7" s="1"/>
  <c r="CA11" i="7"/>
  <c r="CR51" i="7"/>
  <c r="DR44" i="4"/>
  <c r="DR39" i="4"/>
  <c r="CS51" i="7"/>
  <c r="DS39" i="4"/>
  <c r="DS44" i="4"/>
  <c r="P75" i="8"/>
  <c r="AD51" i="7"/>
  <c r="BD51" i="4"/>
  <c r="BD39" i="4"/>
  <c r="BD48" i="4"/>
  <c r="BD44" i="4" s="1"/>
  <c r="BE30" i="7"/>
  <c r="BE32" i="7" s="1"/>
  <c r="BE11" i="7"/>
  <c r="AN66" i="11"/>
  <c r="BN37" i="4"/>
  <c r="I37" i="4" s="1"/>
  <c r="U37" i="4" s="1"/>
  <c r="BN34" i="4"/>
  <c r="BN42" i="4"/>
  <c r="I42" i="4" s="1"/>
  <c r="U42" i="4" s="1"/>
  <c r="AL30" i="7"/>
  <c r="AL32" i="7" s="1"/>
  <c r="AP9" i="7"/>
  <c r="AL11" i="7"/>
  <c r="CM9" i="7"/>
  <c r="CL9" i="7"/>
  <c r="CN9" i="7"/>
  <c r="CO9" i="7"/>
  <c r="CA51" i="7"/>
  <c r="DA48" i="4"/>
  <c r="DA51" i="4"/>
  <c r="DA44" i="4"/>
  <c r="DA39" i="4"/>
  <c r="W19" i="6"/>
  <c r="Q19" i="6"/>
  <c r="W21" i="6"/>
  <c r="Q21" i="6"/>
  <c r="Z73" i="8"/>
  <c r="AB10" i="8"/>
  <c r="AF10" i="8"/>
  <c r="B10" i="8" s="1"/>
  <c r="A7" i="16" s="1"/>
  <c r="AF67" i="8"/>
  <c r="B67" i="8" s="1"/>
  <c r="AB67" i="8"/>
  <c r="BP62" i="8"/>
  <c r="BL62" i="8"/>
  <c r="AL9" i="13"/>
  <c r="AL11" i="13" s="1"/>
  <c r="AL17" i="13" s="1"/>
  <c r="AD57" i="8"/>
  <c r="Z57" i="8"/>
  <c r="AT30" i="7"/>
  <c r="AT32" i="7" s="1"/>
  <c r="AT11" i="7"/>
  <c r="BG11" i="7"/>
  <c r="BG30" i="7"/>
  <c r="BG32" i="7" s="1"/>
  <c r="F79" i="8"/>
  <c r="F28" i="8"/>
  <c r="V9" i="8"/>
  <c r="R9" i="8"/>
  <c r="S38" i="4"/>
  <c r="AP38" i="4"/>
  <c r="AO38" i="4" s="1"/>
  <c r="Y49" i="4"/>
  <c r="W49" i="4"/>
  <c r="G65" i="4"/>
  <c r="G66" i="4" s="1"/>
  <c r="DG34" i="4"/>
  <c r="DG42" i="4"/>
  <c r="DG37" i="4"/>
  <c r="AS30" i="7"/>
  <c r="AS32" i="7" s="1"/>
  <c r="AS11" i="7"/>
  <c r="Z14" i="8"/>
  <c r="P60" i="16"/>
  <c r="P61" i="16" s="1"/>
  <c r="Q60" i="16" s="1"/>
  <c r="L61" i="16"/>
  <c r="M60" i="16" s="1"/>
  <c r="M61" i="16" s="1"/>
  <c r="N60" i="16" s="1"/>
  <c r="N61" i="16" s="1"/>
  <c r="O60" i="16" s="1"/>
  <c r="O61" i="16" s="1"/>
  <c r="P56" i="8"/>
  <c r="AY30" i="7"/>
  <c r="AY32" i="7" s="1"/>
  <c r="AY11" i="7"/>
  <c r="DD37" i="4"/>
  <c r="DD34" i="4"/>
  <c r="BR34" i="4"/>
  <c r="BR42" i="4"/>
  <c r="BR37" i="4"/>
  <c r="D91" i="8"/>
  <c r="T47" i="8"/>
  <c r="P47" i="8"/>
  <c r="C54" i="9"/>
  <c r="K12" i="4"/>
  <c r="K22" i="4"/>
  <c r="K72" i="4"/>
  <c r="E28" i="7"/>
  <c r="E46" i="7" s="1"/>
  <c r="BF35" i="7"/>
  <c r="BF39" i="7"/>
  <c r="BF36" i="7" s="1"/>
  <c r="CH30" i="4"/>
  <c r="Z15" i="8"/>
  <c r="AG30" i="7"/>
  <c r="AG32" i="7" s="1"/>
  <c r="AG11" i="7"/>
  <c r="Z35" i="8"/>
  <c r="AM61" i="12"/>
  <c r="P37" i="8"/>
  <c r="AS18" i="4"/>
  <c r="AR18" i="4" s="1"/>
  <c r="CN30" i="4"/>
  <c r="BF51" i="7"/>
  <c r="BF52" i="7" s="1"/>
  <c r="BF15" i="7"/>
  <c r="CF44" i="4"/>
  <c r="CF39" i="4"/>
  <c r="BF18" i="7" s="1"/>
  <c r="Z13" i="8"/>
  <c r="CC30" i="7"/>
  <c r="CC32" i="7" s="1"/>
  <c r="CC11" i="7"/>
  <c r="CD9" i="7"/>
  <c r="DL51" i="7"/>
  <c r="DL52" i="7" s="1"/>
  <c r="EL39" i="4"/>
  <c r="EL44" i="4"/>
  <c r="CJ37" i="4"/>
  <c r="CJ34" i="4"/>
  <c r="CJ42" i="4"/>
  <c r="Z44" i="8"/>
  <c r="W13" i="6"/>
  <c r="Q13" i="6"/>
  <c r="F47" i="8"/>
  <c r="R41" i="8"/>
  <c r="S17" i="4"/>
  <c r="Y17" i="4"/>
  <c r="W17" i="4"/>
  <c r="Q17" i="4"/>
  <c r="AP17" i="4"/>
  <c r="AO17" i="4" s="1"/>
  <c r="Y18" i="4"/>
  <c r="S18" i="4"/>
  <c r="AP18" i="4"/>
  <c r="AO18" i="4" s="1"/>
  <c r="W18" i="4"/>
  <c r="Q18" i="4"/>
  <c r="DN51" i="7"/>
  <c r="DN52" i="7" s="1"/>
  <c r="EN39" i="4"/>
  <c r="EN44" i="4"/>
  <c r="DG9" i="7"/>
  <c r="BD30" i="7"/>
  <c r="BD32" i="7" s="1"/>
  <c r="DE9" i="7"/>
  <c r="DD9" i="7"/>
  <c r="BH9" i="7"/>
  <c r="BD11" i="7"/>
  <c r="DF9" i="7"/>
  <c r="BO42" i="4"/>
  <c r="BO37" i="4"/>
  <c r="BO34" i="4"/>
  <c r="AC35" i="7"/>
  <c r="AC36" i="7"/>
  <c r="AP50" i="12"/>
  <c r="Z22" i="8"/>
  <c r="AN11" i="7"/>
  <c r="AN30" i="7"/>
  <c r="AN32" i="7" s="1"/>
  <c r="G9" i="7"/>
  <c r="O14" i="6"/>
  <c r="E22" i="6"/>
  <c r="Q12" i="6"/>
  <c r="W12" i="6"/>
  <c r="Q8" i="6"/>
  <c r="W8" i="6"/>
  <c r="BK51" i="7"/>
  <c r="BK52" i="7" s="1"/>
  <c r="CK44" i="4"/>
  <c r="CK39" i="4"/>
  <c r="AD9" i="7"/>
  <c r="AQ9" i="8"/>
  <c r="AC51" i="7"/>
  <c r="AC15" i="7"/>
  <c r="BC48" i="4"/>
  <c r="BC51" i="4"/>
  <c r="BC39" i="4"/>
  <c r="BC44" i="4"/>
  <c r="V66" i="11"/>
  <c r="L39" i="8"/>
  <c r="Z39" i="8" s="1"/>
  <c r="AB30" i="8"/>
  <c r="ET42" i="4"/>
  <c r="ET37" i="4"/>
  <c r="ET34" i="4"/>
  <c r="K28" i="7"/>
  <c r="K46" i="7" s="1"/>
  <c r="B26" i="4"/>
  <c r="F39" i="8"/>
  <c r="P39" i="8" s="1"/>
  <c r="R30" i="8"/>
  <c r="F57" i="8"/>
  <c r="P57" i="8" s="1"/>
  <c r="R54" i="8"/>
  <c r="V66" i="8"/>
  <c r="A66" i="8" s="1"/>
  <c r="R66" i="8"/>
  <c r="S32" i="4"/>
  <c r="A32" i="4" s="1"/>
  <c r="AP32" i="4"/>
  <c r="AO32" i="4" s="1"/>
  <c r="Z23" i="8"/>
  <c r="A67" i="8"/>
  <c r="DU42" i="4"/>
  <c r="DU37" i="4"/>
  <c r="DU34" i="4"/>
  <c r="C45" i="7"/>
  <c r="C47" i="7" s="1"/>
  <c r="C48" i="7" s="1"/>
  <c r="E28" i="4"/>
  <c r="Q22" i="4"/>
  <c r="W22" i="4"/>
  <c r="E23" i="4"/>
  <c r="P35" i="8"/>
  <c r="E30" i="9"/>
  <c r="I30" i="9" s="1"/>
  <c r="J30" i="9" s="1"/>
  <c r="AE29" i="4"/>
  <c r="AK29" i="4"/>
  <c r="AR30" i="7"/>
  <c r="AR32" i="7" s="1"/>
  <c r="AR11" i="7"/>
  <c r="CT9" i="7"/>
  <c r="CS9" i="7"/>
  <c r="CR9" i="7"/>
  <c r="CU9" i="7"/>
  <c r="AV9" i="7"/>
  <c r="P42" i="8"/>
  <c r="AS9" i="4"/>
  <c r="AR9" i="4" s="1"/>
  <c r="M53" i="7"/>
  <c r="AG44" i="4"/>
  <c r="DE51" i="7"/>
  <c r="EE39" i="4"/>
  <c r="EE44" i="4"/>
  <c r="AM24" i="15"/>
  <c r="AM26" i="15" s="1"/>
  <c r="AM9" i="15"/>
  <c r="P13" i="8"/>
  <c r="I20" i="9"/>
  <c r="J20" i="9" s="1"/>
  <c r="B13" i="8"/>
  <c r="C56" i="9"/>
  <c r="C57" i="9" s="1"/>
  <c r="I30" i="6"/>
  <c r="AS20" i="4"/>
  <c r="AR20" i="4" s="1"/>
  <c r="K74" i="4"/>
  <c r="CD34" i="4"/>
  <c r="CD42" i="4"/>
  <c r="CD37" i="4"/>
  <c r="AU30" i="7"/>
  <c r="AU32" i="7" s="1"/>
  <c r="AU11" i="7"/>
  <c r="AO30" i="7"/>
  <c r="AO32" i="7" s="1"/>
  <c r="AO11" i="7"/>
  <c r="BZ37" i="4"/>
  <c r="BZ34" i="4"/>
  <c r="BZ42" i="4"/>
  <c r="AB41" i="8"/>
  <c r="L47" i="8"/>
  <c r="Z47" i="8" s="1"/>
  <c r="DJ51" i="7"/>
  <c r="DJ52" i="7" s="1"/>
  <c r="EJ44" i="4"/>
  <c r="EJ39" i="4"/>
  <c r="G12" i="3"/>
  <c r="B66" i="8"/>
  <c r="BM42" i="4"/>
  <c r="BM37" i="4"/>
  <c r="BM34" i="4"/>
  <c r="V10" i="8"/>
  <c r="A10" i="8" s="1"/>
  <c r="R10" i="8"/>
  <c r="G11" i="4"/>
  <c r="Y9" i="4"/>
  <c r="S9" i="4"/>
  <c r="AP9" i="4"/>
  <c r="AO9" i="4" s="1"/>
  <c r="W9" i="4"/>
  <c r="Q9" i="4"/>
  <c r="S26" i="4"/>
  <c r="A26" i="4" s="1"/>
  <c r="C26" i="4" s="1"/>
  <c r="Y26" i="4"/>
  <c r="S27" i="4"/>
  <c r="AP26" i="4"/>
  <c r="AO26" i="4" s="1"/>
  <c r="Q27" i="4"/>
  <c r="BF42" i="4"/>
  <c r="BF37" i="4"/>
  <c r="BF34" i="4"/>
  <c r="Z67" i="8"/>
  <c r="P67" i="8"/>
  <c r="K22" i="6"/>
  <c r="K56" i="7" s="1"/>
  <c r="DF51" i="7"/>
  <c r="EF44" i="4"/>
  <c r="EF39" i="4"/>
  <c r="Z75" i="8"/>
  <c r="E13" i="9"/>
  <c r="K29" i="6"/>
  <c r="Z31" i="8"/>
  <c r="P15" i="8"/>
  <c r="BI42" i="4"/>
  <c r="BI37" i="4"/>
  <c r="BI34" i="4"/>
  <c r="I12" i="9"/>
  <c r="J12" i="9" s="1"/>
  <c r="C14" i="9"/>
  <c r="AH24" i="15"/>
  <c r="AH26" i="15" s="1"/>
  <c r="AH9" i="15"/>
  <c r="A13" i="8"/>
  <c r="AP7" i="15"/>
  <c r="AP9" i="15" s="1"/>
  <c r="P43" i="8"/>
  <c r="BA30" i="7"/>
  <c r="BA32" i="7" s="1"/>
  <c r="BA11" i="7"/>
  <c r="G15" i="9"/>
  <c r="G24" i="9"/>
  <c r="DS51" i="7"/>
  <c r="DS52" i="7" s="1"/>
  <c r="ES39" i="4"/>
  <c r="ES44" i="4"/>
  <c r="AS37" i="4"/>
  <c r="AR37" i="4" s="1"/>
  <c r="AC37" i="4"/>
  <c r="H84" i="8"/>
  <c r="H48" i="8"/>
  <c r="X28" i="8"/>
  <c r="AD80" i="8"/>
  <c r="Z80" i="8"/>
  <c r="CM42" i="4"/>
  <c r="CM34" i="4"/>
  <c r="CM37" i="4"/>
  <c r="W16" i="6"/>
  <c r="Q16" i="6"/>
  <c r="W25" i="6"/>
  <c r="Q25" i="6"/>
  <c r="B29" i="4"/>
  <c r="CA34" i="4"/>
  <c r="CA42" i="4"/>
  <c r="CA37" i="4"/>
  <c r="CL42" i="4"/>
  <c r="CL37" i="4"/>
  <c r="CL34" i="4"/>
  <c r="P25" i="8"/>
  <c r="W20" i="6"/>
  <c r="Q20" i="6"/>
  <c r="W9" i="6"/>
  <c r="Q9" i="6"/>
  <c r="CB9" i="7"/>
  <c r="AB66" i="11"/>
  <c r="Z18" i="8"/>
  <c r="AL61" i="12"/>
  <c r="T57" i="8"/>
  <c r="AZ30" i="7"/>
  <c r="AZ32" i="7" s="1"/>
  <c r="AZ11" i="7"/>
  <c r="B32" i="4"/>
  <c r="AB54" i="8"/>
  <c r="L57" i="8"/>
  <c r="I22" i="4"/>
  <c r="L14" i="3"/>
  <c r="E13" i="3"/>
  <c r="C13" i="3"/>
  <c r="G13" i="3" s="1"/>
  <c r="U25" i="6"/>
  <c r="Z66" i="8"/>
  <c r="O20" i="6"/>
  <c r="P23" i="8"/>
  <c r="AM11" i="7"/>
  <c r="AM30" i="7"/>
  <c r="AM32" i="7" s="1"/>
  <c r="I27" i="9"/>
  <c r="J27" i="9" s="1"/>
  <c r="E29" i="6"/>
  <c r="Y10" i="4"/>
  <c r="S10" i="4"/>
  <c r="W10" i="4"/>
  <c r="Q10" i="4"/>
  <c r="AP10" i="4"/>
  <c r="AO10" i="4" s="1"/>
  <c r="AF30" i="7"/>
  <c r="AF32" i="7" s="1"/>
  <c r="CI9" i="7"/>
  <c r="CH9" i="7"/>
  <c r="CG9" i="7"/>
  <c r="AF11" i="7"/>
  <c r="AJ9" i="7"/>
  <c r="CF9" i="7"/>
  <c r="CF51" i="7"/>
  <c r="DF39" i="4"/>
  <c r="DF51" i="4"/>
  <c r="DF44" i="4"/>
  <c r="AP16" i="12"/>
  <c r="CP51" i="7"/>
  <c r="DP44" i="4"/>
  <c r="DP39" i="4"/>
  <c r="DP51" i="4"/>
  <c r="P17" i="8"/>
  <c r="O22" i="4"/>
  <c r="O12" i="4"/>
  <c r="AJ66" i="11"/>
  <c r="Z45" i="8"/>
  <c r="M65" i="4"/>
  <c r="M66" i="4" s="1"/>
  <c r="AM50" i="12"/>
  <c r="U18" i="6"/>
  <c r="P10" i="8"/>
  <c r="AI30" i="7"/>
  <c r="AI32" i="7" s="1"/>
  <c r="AI11" i="7"/>
  <c r="AN6" i="13"/>
  <c r="AN9" i="13" s="1"/>
  <c r="AN11" i="13" s="1"/>
  <c r="AN17" i="13" s="1"/>
  <c r="BB37" i="4"/>
  <c r="E37" i="4" s="1"/>
  <c r="BB34" i="4"/>
  <c r="E9" i="7"/>
  <c r="Z72" i="8"/>
  <c r="P14" i="8"/>
  <c r="U17" i="6"/>
  <c r="CL51" i="7"/>
  <c r="DL51" i="4"/>
  <c r="DL44" i="4"/>
  <c r="DL39" i="4"/>
  <c r="BX42" i="4"/>
  <c r="BX37" i="4"/>
  <c r="BX34" i="4"/>
  <c r="Z69" i="8"/>
  <c r="AF66" i="11"/>
  <c r="AP13" i="15" l="1"/>
  <c r="AP33" i="11"/>
  <c r="AD19" i="7"/>
  <c r="G45" i="7"/>
  <c r="G47" i="7" s="1"/>
  <c r="G48" i="7" s="1"/>
  <c r="I23" i="4"/>
  <c r="U23" i="4" s="1"/>
  <c r="I28" i="4"/>
  <c r="U22" i="4"/>
  <c r="AA22" i="4"/>
  <c r="CS30" i="7"/>
  <c r="CS32" i="7" s="1"/>
  <c r="CS11" i="7"/>
  <c r="AF80" i="8"/>
  <c r="AB80" i="8"/>
  <c r="CI30" i="7"/>
  <c r="CI32" i="7" s="1"/>
  <c r="CI11" i="7"/>
  <c r="CJ9" i="7"/>
  <c r="Q29" i="6"/>
  <c r="W29" i="6"/>
  <c r="U29" i="6"/>
  <c r="O29" i="6"/>
  <c r="H13" i="3"/>
  <c r="J13" i="3"/>
  <c r="AZ36" i="7"/>
  <c r="AZ35" i="7"/>
  <c r="BA35" i="7"/>
  <c r="BA36" i="7"/>
  <c r="AZ15" i="7"/>
  <c r="AZ51" i="7"/>
  <c r="AZ52" i="7" s="1"/>
  <c r="BZ39" i="4"/>
  <c r="AZ18" i="7" s="1"/>
  <c r="BZ44" i="4"/>
  <c r="AF35" i="7"/>
  <c r="AF36" i="7"/>
  <c r="CB30" i="7"/>
  <c r="CB32" i="7" s="1"/>
  <c r="CB11" i="7"/>
  <c r="I9" i="7"/>
  <c r="Q26" i="6"/>
  <c r="Q27" i="6" s="1"/>
  <c r="J12" i="3"/>
  <c r="H12" i="3"/>
  <c r="CU30" i="7"/>
  <c r="CU32" i="7" s="1"/>
  <c r="CV9" i="7"/>
  <c r="CU11" i="7"/>
  <c r="DT51" i="7"/>
  <c r="DT52" i="7" s="1"/>
  <c r="ET44" i="4"/>
  <c r="ET39" i="4"/>
  <c r="AO12" i="15"/>
  <c r="AC18" i="7"/>
  <c r="E56" i="7"/>
  <c r="E57" i="7" s="1"/>
  <c r="Q22" i="6"/>
  <c r="W22" i="6"/>
  <c r="AO28" i="15"/>
  <c r="AO68" i="11"/>
  <c r="CD30" i="7"/>
  <c r="CD32" i="7" s="1"/>
  <c r="CD11" i="7"/>
  <c r="AS35" i="7"/>
  <c r="AS36" i="7"/>
  <c r="DH62" i="8"/>
  <c r="DH63" i="8" s="1"/>
  <c r="BP63" i="8"/>
  <c r="AT51" i="7"/>
  <c r="AT52" i="7" s="1"/>
  <c r="AT15" i="7"/>
  <c r="BT39" i="4"/>
  <c r="AT18" i="7" s="1"/>
  <c r="BT44" i="4"/>
  <c r="CB42" i="4"/>
  <c r="CB37" i="4"/>
  <c r="CB34" i="4"/>
  <c r="AL13" i="15"/>
  <c r="AL33" i="11"/>
  <c r="Z19" i="7"/>
  <c r="BZ19" i="7" s="1"/>
  <c r="CV51" i="7"/>
  <c r="DV39" i="4"/>
  <c r="DV44" i="4"/>
  <c r="AP24" i="15"/>
  <c r="AP26" i="15" s="1"/>
  <c r="CX30" i="7"/>
  <c r="CX32" i="7" s="1"/>
  <c r="CX11" i="7"/>
  <c r="CX15" i="7" s="1"/>
  <c r="DC43" i="4"/>
  <c r="DC42" i="4"/>
  <c r="AX51" i="7"/>
  <c r="AX52" i="7" s="1"/>
  <c r="AX15" i="7"/>
  <c r="BX39" i="4"/>
  <c r="AX18" i="7" s="1"/>
  <c r="CX18" i="7" s="1"/>
  <c r="BX44" i="4"/>
  <c r="AM35" i="7"/>
  <c r="AM36" i="7"/>
  <c r="E14" i="3"/>
  <c r="L15" i="3"/>
  <c r="C14" i="3"/>
  <c r="G14" i="3" s="1"/>
  <c r="AI51" i="7"/>
  <c r="AI15" i="7"/>
  <c r="BI44" i="4"/>
  <c r="BI39" i="4"/>
  <c r="BI51" i="4"/>
  <c r="AF51" i="7"/>
  <c r="AF52" i="7" s="1"/>
  <c r="AF15" i="7"/>
  <c r="BF44" i="4"/>
  <c r="BF51" i="4"/>
  <c r="BF39" i="4"/>
  <c r="CR30" i="7"/>
  <c r="CR32" i="7" s="1"/>
  <c r="CR11" i="7"/>
  <c r="CR15" i="7" s="1"/>
  <c r="CU51" i="7"/>
  <c r="DU39" i="4"/>
  <c r="DU44" i="4"/>
  <c r="BH30" i="7"/>
  <c r="BH32" i="7" s="1"/>
  <c r="BH11" i="7"/>
  <c r="BH15" i="7" s="1"/>
  <c r="DH9" i="7"/>
  <c r="BJ51" i="7"/>
  <c r="BJ52" i="7" s="1"/>
  <c r="CJ39" i="4"/>
  <c r="CJ44" i="4"/>
  <c r="CN34" i="4"/>
  <c r="CC15" i="7"/>
  <c r="CC18" i="7" s="1"/>
  <c r="CN42" i="4"/>
  <c r="CN37" i="4"/>
  <c r="AG36" i="7"/>
  <c r="AG35" i="7"/>
  <c r="AT35" i="7"/>
  <c r="AT36" i="7"/>
  <c r="CO11" i="7"/>
  <c r="CP9" i="7"/>
  <c r="CO30" i="7"/>
  <c r="CO32" i="7" s="1"/>
  <c r="AN51" i="7"/>
  <c r="AN52" i="7" s="1"/>
  <c r="AN15" i="7"/>
  <c r="BN51" i="4"/>
  <c r="I51" i="4" s="1"/>
  <c r="BN44" i="4"/>
  <c r="BN39" i="4"/>
  <c r="BD43" i="4"/>
  <c r="BD42" i="4"/>
  <c r="AP34" i="11" s="1"/>
  <c r="AA35" i="7"/>
  <c r="AA36" i="7"/>
  <c r="CZ43" i="4"/>
  <c r="CZ42" i="4"/>
  <c r="B39" i="8"/>
  <c r="A39" i="16" s="1"/>
  <c r="AP51" i="7"/>
  <c r="BP39" i="4"/>
  <c r="AP18" i="7" s="1"/>
  <c r="BP51" i="4"/>
  <c r="BP44" i="4"/>
  <c r="CC35" i="7"/>
  <c r="CC36" i="7"/>
  <c r="AH51" i="7"/>
  <c r="AH52" i="7" s="1"/>
  <c r="AH15" i="7"/>
  <c r="BH44" i="4"/>
  <c r="BH51" i="4"/>
  <c r="G51" i="4" s="1"/>
  <c r="BH39" i="4"/>
  <c r="AF57" i="8"/>
  <c r="B57" i="8" s="1"/>
  <c r="A55" i="16" s="1"/>
  <c r="AB57" i="8"/>
  <c r="CH42" i="4"/>
  <c r="CH37" i="4"/>
  <c r="CH34" i="4"/>
  <c r="I45" i="7"/>
  <c r="I47" i="7" s="1"/>
  <c r="I48" i="7" s="1"/>
  <c r="K23" i="4"/>
  <c r="AC22" i="4"/>
  <c r="K28" i="4"/>
  <c r="AI22" i="4"/>
  <c r="CG51" i="7"/>
  <c r="DG44" i="4"/>
  <c r="DG39" i="4"/>
  <c r="DG51" i="4"/>
  <c r="F89" i="8"/>
  <c r="F84" i="8"/>
  <c r="R28" i="8"/>
  <c r="F48" i="8"/>
  <c r="V28" i="8"/>
  <c r="CL30" i="7"/>
  <c r="CL32" i="7" s="1"/>
  <c r="CL11" i="7"/>
  <c r="CL15" i="7" s="1"/>
  <c r="CL52" i="7" s="1"/>
  <c r="AG15" i="7"/>
  <c r="AG51" i="7"/>
  <c r="BG39" i="4"/>
  <c r="BG51" i="4"/>
  <c r="BG44" i="4"/>
  <c r="AY51" i="7"/>
  <c r="AY15" i="7"/>
  <c r="BY44" i="4"/>
  <c r="BY39" i="4"/>
  <c r="AY18" i="7" s="1"/>
  <c r="AS51" i="7"/>
  <c r="AS52" i="7" s="1"/>
  <c r="AS15" i="7"/>
  <c r="BS44" i="4"/>
  <c r="BS39" i="4"/>
  <c r="AS18" i="7" s="1"/>
  <c r="O22" i="6"/>
  <c r="E14" i="9"/>
  <c r="I53" i="7"/>
  <c r="AC44" i="4"/>
  <c r="AS44" i="4"/>
  <c r="AR44" i="4" s="1"/>
  <c r="AU51" i="7"/>
  <c r="AU52" i="7" s="1"/>
  <c r="AU15" i="7"/>
  <c r="BU44" i="4"/>
  <c r="BU39" i="4"/>
  <c r="AU18" i="7" s="1"/>
  <c r="CZ11" i="7"/>
  <c r="CZ30" i="7"/>
  <c r="CZ32" i="7" s="1"/>
  <c r="G30" i="7"/>
  <c r="G11" i="7"/>
  <c r="G15" i="7" s="1"/>
  <c r="R9" i="7"/>
  <c r="AY35" i="7"/>
  <c r="AY36" i="7"/>
  <c r="BE51" i="7"/>
  <c r="BE15" i="7"/>
  <c r="CE44" i="4"/>
  <c r="CE39" i="4"/>
  <c r="BE18" i="7" s="1"/>
  <c r="BZ35" i="7"/>
  <c r="BZ36" i="7"/>
  <c r="CY30" i="7"/>
  <c r="CY32" i="7" s="1"/>
  <c r="CY11" i="7"/>
  <c r="AJ30" i="7"/>
  <c r="AJ32" i="7" s="1"/>
  <c r="AJ11" i="7"/>
  <c r="AJ15" i="7" s="1"/>
  <c r="CT30" i="7"/>
  <c r="CT32" i="7" s="1"/>
  <c r="CT11" i="7"/>
  <c r="V57" i="8"/>
  <c r="A57" i="8" s="1"/>
  <c r="F58" i="8"/>
  <c r="R57" i="8"/>
  <c r="AN36" i="7"/>
  <c r="AN35" i="7"/>
  <c r="G35" i="7" s="1"/>
  <c r="AO51" i="7"/>
  <c r="AO15" i="7"/>
  <c r="BO44" i="4"/>
  <c r="BO51" i="4"/>
  <c r="BO39" i="4"/>
  <c r="AO18" i="7" s="1"/>
  <c r="DE30" i="7"/>
  <c r="DE32" i="7" s="1"/>
  <c r="DE11" i="7"/>
  <c r="E30" i="7"/>
  <c r="E11" i="7"/>
  <c r="E15" i="7" s="1"/>
  <c r="Q9" i="7"/>
  <c r="BA51" i="7"/>
  <c r="BA52" i="7" s="1"/>
  <c r="BA15" i="7"/>
  <c r="CA44" i="4"/>
  <c r="CA39" i="4"/>
  <c r="BA18" i="7" s="1"/>
  <c r="G29" i="9"/>
  <c r="G31" i="9" s="1"/>
  <c r="G34" i="9" s="1"/>
  <c r="G25" i="9"/>
  <c r="L91" i="8"/>
  <c r="AF47" i="8"/>
  <c r="AB47" i="8"/>
  <c r="Q23" i="4"/>
  <c r="AB39" i="8"/>
  <c r="AF39" i="8"/>
  <c r="AC52" i="7"/>
  <c r="BD35" i="7"/>
  <c r="BD36" i="7"/>
  <c r="BD39" i="7"/>
  <c r="V47" i="8"/>
  <c r="A47" i="8" s="1"/>
  <c r="F91" i="8"/>
  <c r="R47" i="8"/>
  <c r="AR51" i="7"/>
  <c r="AR52" i="7" s="1"/>
  <c r="AR15" i="7"/>
  <c r="BR44" i="4"/>
  <c r="BR39" i="4"/>
  <c r="AR18" i="7" s="1"/>
  <c r="CR18" i="7" s="1"/>
  <c r="V79" i="8"/>
  <c r="F81" i="8"/>
  <c r="F82" i="8" s="1"/>
  <c r="CM30" i="7"/>
  <c r="CM32" i="7" s="1"/>
  <c r="CM11" i="7"/>
  <c r="AD52" i="7"/>
  <c r="CR52" i="7"/>
  <c r="BG51" i="7"/>
  <c r="CG44" i="4"/>
  <c r="CG39" i="4"/>
  <c r="BG18" i="7" s="1"/>
  <c r="BG15" i="7"/>
  <c r="BJ34" i="4"/>
  <c r="BJ37" i="4"/>
  <c r="BJ42" i="4"/>
  <c r="CC52" i="7"/>
  <c r="AK24" i="15"/>
  <c r="AK26" i="15" s="1"/>
  <c r="AG26" i="15"/>
  <c r="E30" i="6"/>
  <c r="Y20" i="4"/>
  <c r="S20" i="4"/>
  <c r="G74" i="4"/>
  <c r="W20" i="4"/>
  <c r="Q20" i="4"/>
  <c r="AP20" i="4"/>
  <c r="AO20" i="4" s="1"/>
  <c r="AS39" i="4"/>
  <c r="AR39" i="4" s="1"/>
  <c r="AC39" i="4"/>
  <c r="B39" i="4" s="1"/>
  <c r="B36" i="4" s="1"/>
  <c r="DA30" i="7"/>
  <c r="DA32" i="7" s="1"/>
  <c r="DA11" i="7"/>
  <c r="C30" i="7"/>
  <c r="C11" i="7"/>
  <c r="C15" i="7" s="1"/>
  <c r="P9" i="7"/>
  <c r="DD30" i="7"/>
  <c r="DD32" i="7" s="1"/>
  <c r="DD11" i="7"/>
  <c r="DD15" i="7" s="1"/>
  <c r="DD52" i="7" s="1"/>
  <c r="CN30" i="7"/>
  <c r="CN32" i="7" s="1"/>
  <c r="CN11" i="7"/>
  <c r="M9" i="7"/>
  <c r="AH48" i="8"/>
  <c r="N58" i="8"/>
  <c r="AH58" i="8" s="1"/>
  <c r="AH35" i="7"/>
  <c r="E35" i="7" s="1"/>
  <c r="AH36" i="7"/>
  <c r="AI35" i="7"/>
  <c r="AI36" i="7"/>
  <c r="M45" i="7"/>
  <c r="M47" i="7" s="1"/>
  <c r="M48" i="7" s="1"/>
  <c r="AG22" i="4"/>
  <c r="O28" i="4"/>
  <c r="AM22" i="4"/>
  <c r="O23" i="4"/>
  <c r="AO35" i="7"/>
  <c r="AO36" i="7"/>
  <c r="AR36" i="7"/>
  <c r="AR35" i="7"/>
  <c r="V39" i="8"/>
  <c r="A39" i="8" s="1"/>
  <c r="R39" i="8"/>
  <c r="AN6" i="16"/>
  <c r="AN26" i="16" s="1"/>
  <c r="AN59" i="16" s="1"/>
  <c r="AQ28" i="8"/>
  <c r="AQ79" i="8"/>
  <c r="AQ81" i="8" s="1"/>
  <c r="AQ82" i="8" s="1"/>
  <c r="DG30" i="7"/>
  <c r="DG32" i="7" s="1"/>
  <c r="DG11" i="7"/>
  <c r="BF19" i="7"/>
  <c r="U60" i="16"/>
  <c r="U61" i="16" s="1"/>
  <c r="V60" i="16" s="1"/>
  <c r="Q61" i="16"/>
  <c r="R60" i="16" s="1"/>
  <c r="R61" i="16" s="1"/>
  <c r="S60" i="16" s="1"/>
  <c r="S61" i="16" s="1"/>
  <c r="T60" i="16" s="1"/>
  <c r="T61" i="16" s="1"/>
  <c r="CA15" i="7"/>
  <c r="CA18" i="7" s="1"/>
  <c r="C29" i="4"/>
  <c r="AL28" i="15"/>
  <c r="AL68" i="11"/>
  <c r="AL51" i="7"/>
  <c r="AL52" i="7" s="1"/>
  <c r="AL15" i="7"/>
  <c r="BL51" i="4"/>
  <c r="BL44" i="4"/>
  <c r="BL39" i="4"/>
  <c r="AL18" i="7" s="1"/>
  <c r="CL18" i="7" s="1"/>
  <c r="AK66" i="11"/>
  <c r="AM51" i="7"/>
  <c r="AM52" i="7" s="1"/>
  <c r="AM15" i="7"/>
  <c r="BM51" i="4"/>
  <c r="BM44" i="4"/>
  <c r="BM39" i="4"/>
  <c r="AM18" i="7" s="1"/>
  <c r="BD51" i="7"/>
  <c r="BD52" i="7" s="1"/>
  <c r="BD15" i="7"/>
  <c r="CD39" i="4"/>
  <c r="BD18" i="7" s="1"/>
  <c r="DD18" i="7" s="1"/>
  <c r="CD44" i="4"/>
  <c r="AP12" i="15"/>
  <c r="AD18" i="7"/>
  <c r="E54" i="9"/>
  <c r="M22" i="4"/>
  <c r="M12" i="4"/>
  <c r="M72" i="4"/>
  <c r="AK6" i="16"/>
  <c r="AN79" i="8"/>
  <c r="AN81" i="8" s="1"/>
  <c r="AN28" i="8"/>
  <c r="CF9" i="8"/>
  <c r="AP9" i="8"/>
  <c r="CI9" i="8" s="1"/>
  <c r="AB15" i="7"/>
  <c r="AB51" i="7"/>
  <c r="BB51" i="4"/>
  <c r="E51" i="4" s="1"/>
  <c r="BB48" i="4"/>
  <c r="BB44" i="4" s="1"/>
  <c r="BB39" i="4"/>
  <c r="CG30" i="7"/>
  <c r="CG32" i="7" s="1"/>
  <c r="CG11" i="7"/>
  <c r="BM51" i="7"/>
  <c r="BM52" i="7" s="1"/>
  <c r="CM39" i="4"/>
  <c r="CM44" i="4"/>
  <c r="X48" i="8"/>
  <c r="H58" i="8"/>
  <c r="X58" i="8" s="1"/>
  <c r="Q37" i="4"/>
  <c r="AP37" i="4"/>
  <c r="AO37" i="4" s="1"/>
  <c r="CH30" i="7"/>
  <c r="CH32" i="7" s="1"/>
  <c r="CH11" i="7"/>
  <c r="K9" i="7"/>
  <c r="BL51" i="7"/>
  <c r="BL52" i="7" s="1"/>
  <c r="CL44" i="4"/>
  <c r="CL39" i="4"/>
  <c r="K57" i="7"/>
  <c r="C55" i="9"/>
  <c r="CD51" i="7"/>
  <c r="DD44" i="4"/>
  <c r="DD48" i="4"/>
  <c r="DD39" i="4"/>
  <c r="DD51" i="4"/>
  <c r="BG39" i="7"/>
  <c r="BG36" i="7" s="1"/>
  <c r="BG35" i="7"/>
  <c r="AP6" i="13"/>
  <c r="AP9" i="13" s="1"/>
  <c r="AP11" i="13" s="1"/>
  <c r="AP17" i="13" s="1"/>
  <c r="AP30" i="7"/>
  <c r="AP32" i="7" s="1"/>
  <c r="AP11" i="7"/>
  <c r="AP15" i="7" s="1"/>
  <c r="CA35" i="7"/>
  <c r="CA36" i="7"/>
  <c r="L84" i="8"/>
  <c r="L89" i="8"/>
  <c r="AF28" i="8"/>
  <c r="AB28" i="8"/>
  <c r="L48" i="8"/>
  <c r="L58" i="8" s="1"/>
  <c r="K53" i="7"/>
  <c r="AE44" i="4"/>
  <c r="BV42" i="4"/>
  <c r="BV37" i="4"/>
  <c r="BV34" i="4"/>
  <c r="B47" i="8"/>
  <c r="AL12" i="15"/>
  <c r="Z18" i="7"/>
  <c r="BZ18" i="7" s="1"/>
  <c r="DB43" i="4"/>
  <c r="K43" i="4" s="1"/>
  <c r="K48" i="4"/>
  <c r="C47" i="9" s="1"/>
  <c r="DB42" i="4"/>
  <c r="K42" i="4" s="1"/>
  <c r="BB30" i="7"/>
  <c r="BB32" i="7" s="1"/>
  <c r="DB9" i="7"/>
  <c r="BB11" i="7"/>
  <c r="BB15" i="7" s="1"/>
  <c r="AB36" i="7"/>
  <c r="AB35" i="7"/>
  <c r="C35" i="7" s="1"/>
  <c r="E59" i="9"/>
  <c r="CF30" i="7"/>
  <c r="CF32" i="7" s="1"/>
  <c r="CF11" i="7"/>
  <c r="CF15" i="7" s="1"/>
  <c r="CF52" i="7" s="1"/>
  <c r="AA51" i="7"/>
  <c r="AA52" i="7" s="1"/>
  <c r="AO9" i="8"/>
  <c r="AR9" i="8" s="1"/>
  <c r="AA15" i="7"/>
  <c r="BA48" i="4"/>
  <c r="BA42" i="4" s="1"/>
  <c r="AM34" i="11" s="1"/>
  <c r="BA39" i="4"/>
  <c r="BA51" i="4"/>
  <c r="C24" i="9"/>
  <c r="I14" i="9"/>
  <c r="J14" i="9" s="1"/>
  <c r="C15" i="9"/>
  <c r="G22" i="4"/>
  <c r="Y11" i="4"/>
  <c r="S11" i="4"/>
  <c r="G12" i="4"/>
  <c r="G72" i="4"/>
  <c r="W11" i="4"/>
  <c r="Q11" i="4"/>
  <c r="AP11" i="4"/>
  <c r="AO11" i="4" s="1"/>
  <c r="AU39" i="7"/>
  <c r="AU36" i="7" s="1"/>
  <c r="AU35" i="7"/>
  <c r="AV30" i="7"/>
  <c r="AV32" i="7" s="1"/>
  <c r="AV11" i="7"/>
  <c r="AV15" i="7" s="1"/>
  <c r="C58" i="7"/>
  <c r="C59" i="7" s="1"/>
  <c r="Q28" i="4"/>
  <c r="W28" i="4"/>
  <c r="E30" i="4"/>
  <c r="E53" i="4"/>
  <c r="Q53" i="4" s="1"/>
  <c r="C32" i="4"/>
  <c r="AO13" i="15"/>
  <c r="AO33" i="11"/>
  <c r="AC19" i="7"/>
  <c r="AD11" i="7"/>
  <c r="AD15" i="7" s="1"/>
  <c r="AD30" i="7"/>
  <c r="AD32" i="7" s="1"/>
  <c r="DF30" i="7"/>
  <c r="DF32" i="7" s="1"/>
  <c r="DF11" i="7"/>
  <c r="DG62" i="8"/>
  <c r="DG63" i="8" s="1"/>
  <c r="DF62" i="8"/>
  <c r="DF63" i="8" s="1"/>
  <c r="DE62" i="8"/>
  <c r="DE63" i="8" s="1"/>
  <c r="DD62" i="8"/>
  <c r="DD63" i="8" s="1"/>
  <c r="BL63" i="8"/>
  <c r="BM62" i="8" s="1"/>
  <c r="BM63" i="8" s="1"/>
  <c r="BN62" i="8" s="1"/>
  <c r="BN63" i="8" s="1"/>
  <c r="BO62" i="8" s="1"/>
  <c r="BO63" i="8" s="1"/>
  <c r="AL36" i="7"/>
  <c r="AL35" i="7"/>
  <c r="BE36" i="7"/>
  <c r="BE39" i="7"/>
  <c r="BE35" i="7"/>
  <c r="DB51" i="7"/>
  <c r="EB39" i="4"/>
  <c r="EB44" i="4"/>
  <c r="AF79" i="8"/>
  <c r="L81" i="8"/>
  <c r="L82" i="8" s="1"/>
  <c r="AB79" i="8"/>
  <c r="CX52" i="7"/>
  <c r="AX36" i="7"/>
  <c r="AX35" i="7"/>
  <c r="E56" i="9"/>
  <c r="E57" i="9" s="1"/>
  <c r="K30" i="6"/>
  <c r="M74" i="4"/>
  <c r="B44" i="4" l="1"/>
  <c r="B41" i="4" s="1"/>
  <c r="BA44" i="4"/>
  <c r="AR79" i="8"/>
  <c r="AR81" i="8" s="1"/>
  <c r="AR28" i="8"/>
  <c r="CJ9" i="8"/>
  <c r="AB58" i="8"/>
  <c r="AF58" i="8"/>
  <c r="AN13" i="15"/>
  <c r="AN33" i="11"/>
  <c r="AB19" i="7"/>
  <c r="C19" i="7" s="1"/>
  <c r="E44" i="4"/>
  <c r="CI79" i="8"/>
  <c r="CI81" i="8" s="1"/>
  <c r="CI28" i="8"/>
  <c r="AR19" i="7"/>
  <c r="CR19" i="7" s="1"/>
  <c r="CY35" i="7"/>
  <c r="CY36" i="7"/>
  <c r="DF15" i="7"/>
  <c r="DF19" i="7"/>
  <c r="AK26" i="16"/>
  <c r="AK59" i="16" s="1"/>
  <c r="AJ28" i="15"/>
  <c r="AJ68" i="11"/>
  <c r="CG52" i="7"/>
  <c r="CU15" i="7"/>
  <c r="CU18" i="7" s="1"/>
  <c r="CB19" i="7"/>
  <c r="I19" i="7" s="1"/>
  <c r="CB15" i="7"/>
  <c r="CJ30" i="7"/>
  <c r="CJ32" i="7" s="1"/>
  <c r="CJ11" i="7"/>
  <c r="AB68" i="11"/>
  <c r="DF35" i="7"/>
  <c r="DF36" i="7"/>
  <c r="S12" i="4"/>
  <c r="Y12" i="4"/>
  <c r="Q12" i="4"/>
  <c r="W12" i="4"/>
  <c r="BB35" i="7"/>
  <c r="BB36" i="7"/>
  <c r="AV51" i="7"/>
  <c r="AV52" i="7" s="1"/>
  <c r="BV39" i="4"/>
  <c r="AV18" i="7" s="1"/>
  <c r="BV44" i="4"/>
  <c r="AN12" i="15"/>
  <c r="AB18" i="7"/>
  <c r="C18" i="7" s="1"/>
  <c r="E39" i="4"/>
  <c r="CH9" i="8"/>
  <c r="CA19" i="7"/>
  <c r="AQ61" i="8"/>
  <c r="AQ84" i="8"/>
  <c r="AQ48" i="8"/>
  <c r="AQ58" i="8" s="1"/>
  <c r="CN15" i="7"/>
  <c r="DA36" i="7"/>
  <c r="DA35" i="7"/>
  <c r="CM15" i="7"/>
  <c r="CM19" i="7" s="1"/>
  <c r="AO52" i="7"/>
  <c r="CT19" i="7"/>
  <c r="CT15" i="7"/>
  <c r="AU19" i="7"/>
  <c r="AH12" i="15"/>
  <c r="AG18" i="7"/>
  <c r="V48" i="8"/>
  <c r="R48" i="8"/>
  <c r="AI13" i="15"/>
  <c r="AH19" i="7"/>
  <c r="E19" i="7" s="1"/>
  <c r="G44" i="4"/>
  <c r="CP30" i="7"/>
  <c r="CP32" i="7" s="1"/>
  <c r="CP11" i="7"/>
  <c r="E15" i="3"/>
  <c r="L16" i="3"/>
  <c r="L17" i="3" s="1"/>
  <c r="L18" i="3" s="1"/>
  <c r="C15" i="3"/>
  <c r="G15" i="3" s="1"/>
  <c r="CV30" i="7"/>
  <c r="CV32" i="7" s="1"/>
  <c r="CV11" i="7"/>
  <c r="CB36" i="7"/>
  <c r="I36" i="7" s="1"/>
  <c r="CB35" i="7"/>
  <c r="I35" i="7" s="1"/>
  <c r="CI19" i="7"/>
  <c r="CI15" i="7"/>
  <c r="G58" i="7"/>
  <c r="G59" i="7" s="1"/>
  <c r="U28" i="4"/>
  <c r="I30" i="4"/>
  <c r="AA28" i="4"/>
  <c r="I53" i="4"/>
  <c r="DB11" i="7"/>
  <c r="DB30" i="7"/>
  <c r="DB32" i="7" s="1"/>
  <c r="CG36" i="7"/>
  <c r="CG35" i="7"/>
  <c r="AE68" i="11"/>
  <c r="CO35" i="7"/>
  <c r="CO36" i="7"/>
  <c r="BB51" i="7"/>
  <c r="BB52" i="7" s="1"/>
  <c r="CB44" i="4"/>
  <c r="CB39" i="4"/>
  <c r="BB18" i="7" s="1"/>
  <c r="AM12" i="15"/>
  <c r="AA18" i="7"/>
  <c r="CF35" i="7"/>
  <c r="CF36" i="7"/>
  <c r="K30" i="7"/>
  <c r="U9" i="7"/>
  <c r="K11" i="7"/>
  <c r="K15" i="7" s="1"/>
  <c r="CN36" i="7"/>
  <c r="M36" i="7" s="1"/>
  <c r="CN35" i="7"/>
  <c r="M35" i="7" s="1"/>
  <c r="W30" i="6"/>
  <c r="Q30" i="6"/>
  <c r="U30" i="6"/>
  <c r="O30" i="6"/>
  <c r="CM35" i="7"/>
  <c r="CM36" i="7"/>
  <c r="E32" i="7"/>
  <c r="Q30" i="7"/>
  <c r="E40" i="7"/>
  <c r="CT35" i="7"/>
  <c r="CT36" i="7"/>
  <c r="BE19" i="7"/>
  <c r="AG52" i="7"/>
  <c r="I58" i="7"/>
  <c r="K30" i="4"/>
  <c r="AI28" i="4"/>
  <c r="AC28" i="4"/>
  <c r="K53" i="4"/>
  <c r="AN18" i="7"/>
  <c r="G18" i="7" s="1"/>
  <c r="I39" i="4"/>
  <c r="U39" i="4" s="1"/>
  <c r="CO15" i="7"/>
  <c r="CO19" i="7" s="1"/>
  <c r="CR35" i="7"/>
  <c r="CR36" i="7"/>
  <c r="E16" i="3"/>
  <c r="CD15" i="7"/>
  <c r="CD18" i="7" s="1"/>
  <c r="CU36" i="7"/>
  <c r="CU35" i="7"/>
  <c r="AG28" i="15"/>
  <c r="AG68" i="11"/>
  <c r="CI35" i="7"/>
  <c r="CI36" i="7"/>
  <c r="J14" i="3"/>
  <c r="H14" i="3"/>
  <c r="Z60" i="16"/>
  <c r="Z61" i="16" s="1"/>
  <c r="AA60" i="16" s="1"/>
  <c r="V61" i="16"/>
  <c r="W60" i="16" s="1"/>
  <c r="W61" i="16" s="1"/>
  <c r="X60" i="16" s="1"/>
  <c r="X61" i="16" s="1"/>
  <c r="Y60" i="16" s="1"/>
  <c r="Y61" i="16" s="1"/>
  <c r="AI28" i="15"/>
  <c r="AI68" i="11"/>
  <c r="E36" i="7"/>
  <c r="DE15" i="7"/>
  <c r="E24" i="9"/>
  <c r="E15" i="9"/>
  <c r="AY19" i="7"/>
  <c r="AP19" i="7"/>
  <c r="AN19" i="7"/>
  <c r="G19" i="7" s="1"/>
  <c r="I44" i="4"/>
  <c r="DH30" i="7"/>
  <c r="DH32" i="7" s="1"/>
  <c r="DH11" i="7"/>
  <c r="AJ12" i="15"/>
  <c r="AI18" i="7"/>
  <c r="AC68" i="11"/>
  <c r="CA52" i="7"/>
  <c r="CD36" i="7"/>
  <c r="CD35" i="7"/>
  <c r="DG19" i="7"/>
  <c r="DG15" i="7"/>
  <c r="CL36" i="7"/>
  <c r="CL35" i="7"/>
  <c r="AV35" i="7"/>
  <c r="AV36" i="7"/>
  <c r="AD36" i="7"/>
  <c r="AD35" i="7"/>
  <c r="AC42" i="4"/>
  <c r="AS42" i="4"/>
  <c r="AR42" i="4" s="1"/>
  <c r="CH15" i="7"/>
  <c r="CH19" i="7" s="1"/>
  <c r="K19" i="7" s="1"/>
  <c r="K54" i="7" s="1"/>
  <c r="CF79" i="8"/>
  <c r="CF81" i="8" s="1"/>
  <c r="CF82" i="8" s="1"/>
  <c r="CF28" i="8"/>
  <c r="K45" i="7"/>
  <c r="K47" i="7" s="1"/>
  <c r="K48" i="7" s="1"/>
  <c r="M23" i="4"/>
  <c r="AE22" i="4"/>
  <c r="B22" i="4" s="1"/>
  <c r="AK22" i="4"/>
  <c r="M28" i="4"/>
  <c r="AS28" i="4" s="1"/>
  <c r="AR28" i="4" s="1"/>
  <c r="AG23" i="4"/>
  <c r="AM23" i="4"/>
  <c r="E45" i="7"/>
  <c r="E47" i="7" s="1"/>
  <c r="E48" i="7" s="1"/>
  <c r="G28" i="4"/>
  <c r="Y22" i="4"/>
  <c r="G23" i="4"/>
  <c r="S22" i="4"/>
  <c r="A22" i="4" s="1"/>
  <c r="AP22" i="4"/>
  <c r="AO22" i="4" s="1"/>
  <c r="AS43" i="4"/>
  <c r="AR43" i="4" s="1"/>
  <c r="AC43" i="4"/>
  <c r="CH36" i="7"/>
  <c r="K36" i="7" s="1"/>
  <c r="CH35" i="7"/>
  <c r="K35" i="7" s="1"/>
  <c r="E55" i="9"/>
  <c r="DD35" i="7"/>
  <c r="DD36" i="7"/>
  <c r="BG19" i="7"/>
  <c r="BA19" i="7"/>
  <c r="DE36" i="7"/>
  <c r="DE35" i="7"/>
  <c r="AD68" i="11"/>
  <c r="G36" i="7"/>
  <c r="AJ35" i="7"/>
  <c r="AJ36" i="7"/>
  <c r="BE52" i="7"/>
  <c r="G32" i="7"/>
  <c r="R30" i="7"/>
  <c r="G40" i="7"/>
  <c r="AS22" i="4"/>
  <c r="AR22" i="4" s="1"/>
  <c r="AM28" i="15"/>
  <c r="AM68" i="11"/>
  <c r="CC19" i="7"/>
  <c r="AG12" i="15"/>
  <c r="AF18" i="7"/>
  <c r="CF18" i="7" s="1"/>
  <c r="AJ13" i="15"/>
  <c r="AI19" i="7"/>
  <c r="BJ62" i="8"/>
  <c r="BF62" i="8"/>
  <c r="AN61" i="8"/>
  <c r="AN48" i="8"/>
  <c r="AN58" i="8" s="1"/>
  <c r="AN84" i="8"/>
  <c r="CZ36" i="7"/>
  <c r="CZ35" i="7"/>
  <c r="AM13" i="15"/>
  <c r="AM33" i="11"/>
  <c r="AA19" i="7"/>
  <c r="M30" i="7"/>
  <c r="V9" i="7"/>
  <c r="M11" i="7"/>
  <c r="M15" i="7" s="1"/>
  <c r="DA15" i="7"/>
  <c r="AJ51" i="7"/>
  <c r="AJ52" i="7" s="1"/>
  <c r="BJ39" i="4"/>
  <c r="BJ51" i="4"/>
  <c r="BJ44" i="4"/>
  <c r="BB43" i="4"/>
  <c r="E43" i="4" s="1"/>
  <c r="E48" i="4"/>
  <c r="W48" i="4" s="1"/>
  <c r="BB42" i="4"/>
  <c r="E34" i="4"/>
  <c r="Q30" i="4"/>
  <c r="AL6" i="16"/>
  <c r="AL26" i="16" s="1"/>
  <c r="AL59" i="16" s="1"/>
  <c r="AO79" i="8"/>
  <c r="AO81" i="8" s="1"/>
  <c r="AO28" i="8"/>
  <c r="AN28" i="15"/>
  <c r="AN68" i="11"/>
  <c r="C36" i="7"/>
  <c r="AB52" i="7"/>
  <c r="CG9" i="8"/>
  <c r="AM19" i="7"/>
  <c r="M58" i="7"/>
  <c r="AG28" i="4"/>
  <c r="O30" i="4"/>
  <c r="AM28" i="4"/>
  <c r="O53" i="4"/>
  <c r="BG52" i="7"/>
  <c r="DD39" i="7"/>
  <c r="DF39" i="7"/>
  <c r="DE39" i="7"/>
  <c r="DG39" i="7"/>
  <c r="CY15" i="7"/>
  <c r="CY19" i="7"/>
  <c r="AY52" i="7"/>
  <c r="AC23" i="4"/>
  <c r="AI23" i="4"/>
  <c r="BH39" i="7"/>
  <c r="DH39" i="7" s="1"/>
  <c r="BH35" i="7"/>
  <c r="BH36" i="7"/>
  <c r="AT19" i="7"/>
  <c r="CS15" i="7"/>
  <c r="CS19" i="7" s="1"/>
  <c r="AS19" i="7"/>
  <c r="AP52" i="7"/>
  <c r="BN51" i="7"/>
  <c r="BN52" i="7" s="1"/>
  <c r="CN44" i="4"/>
  <c r="CN39" i="4"/>
  <c r="AG13" i="15"/>
  <c r="AF19" i="7"/>
  <c r="CF19" i="7" s="1"/>
  <c r="AI52" i="7"/>
  <c r="AZ19" i="7"/>
  <c r="CS35" i="7"/>
  <c r="CS36" i="7"/>
  <c r="C29" i="9"/>
  <c r="C25" i="9"/>
  <c r="I24" i="9"/>
  <c r="J24" i="9" s="1"/>
  <c r="AF48" i="8"/>
  <c r="AB48" i="8"/>
  <c r="AP36" i="7"/>
  <c r="AP35" i="7"/>
  <c r="DD43" i="4"/>
  <c r="DD42" i="4"/>
  <c r="CG15" i="7"/>
  <c r="CG18" i="7" s="1"/>
  <c r="AM6" i="16"/>
  <c r="AM26" i="16" s="1"/>
  <c r="AM59" i="16" s="1"/>
  <c r="AP79" i="8"/>
  <c r="AP81" i="8" s="1"/>
  <c r="AP82" i="8" s="1"/>
  <c r="AP28" i="8"/>
  <c r="D9" i="8"/>
  <c r="AN82" i="8"/>
  <c r="BD19" i="7"/>
  <c r="DD19" i="7" s="1"/>
  <c r="AL19" i="7"/>
  <c r="CL19" i="7" s="1"/>
  <c r="DG36" i="7"/>
  <c r="DG35" i="7"/>
  <c r="P30" i="7"/>
  <c r="C32" i="7"/>
  <c r="C40" i="7"/>
  <c r="AO19" i="7"/>
  <c r="V58" i="8"/>
  <c r="R58" i="8"/>
  <c r="CZ15" i="7"/>
  <c r="CZ19" i="7" s="1"/>
  <c r="I54" i="7"/>
  <c r="AH13" i="15"/>
  <c r="AG19" i="7"/>
  <c r="BH51" i="7"/>
  <c r="BH52" i="7" s="1"/>
  <c r="CH44" i="4"/>
  <c r="CH39" i="4"/>
  <c r="BH18" i="7" s="1"/>
  <c r="AI12" i="15"/>
  <c r="AH18" i="7"/>
  <c r="E18" i="7" s="1"/>
  <c r="G39" i="4"/>
  <c r="S39" i="4" s="1"/>
  <c r="AH28" i="15"/>
  <c r="AH68" i="11"/>
  <c r="AX19" i="7"/>
  <c r="CX19" i="7" s="1"/>
  <c r="CX36" i="7"/>
  <c r="CX35" i="7"/>
  <c r="I30" i="7"/>
  <c r="T9" i="7"/>
  <c r="I11" i="7"/>
  <c r="I15" i="7" s="1"/>
  <c r="DA18" i="7" l="1"/>
  <c r="DA52" i="7"/>
  <c r="E58" i="7"/>
  <c r="E59" i="7" s="1"/>
  <c r="S28" i="4"/>
  <c r="A28" i="4" s="1"/>
  <c r="G30" i="4"/>
  <c r="Y28" i="4"/>
  <c r="G53" i="4"/>
  <c r="S53" i="4" s="1"/>
  <c r="AP28" i="4"/>
  <c r="AO28" i="4" s="1"/>
  <c r="CD52" i="7"/>
  <c r="D79" i="8"/>
  <c r="D28" i="8"/>
  <c r="T9" i="8"/>
  <c r="A9" i="8" s="1"/>
  <c r="P9" i="8"/>
  <c r="AO82" i="8"/>
  <c r="DA19" i="7"/>
  <c r="Q48" i="7"/>
  <c r="P48" i="7"/>
  <c r="CF61" i="8"/>
  <c r="CF84" i="8"/>
  <c r="CF48" i="8"/>
  <c r="CF58" i="8" s="1"/>
  <c r="C16" i="3"/>
  <c r="CD19" i="7"/>
  <c r="L19" i="3"/>
  <c r="E18" i="3"/>
  <c r="C18" i="3"/>
  <c r="AV19" i="7"/>
  <c r="CJ35" i="7"/>
  <c r="CJ36" i="7"/>
  <c r="I29" i="9"/>
  <c r="J29" i="9" s="1"/>
  <c r="C31" i="9"/>
  <c r="CS18" i="7"/>
  <c r="CS52" i="7"/>
  <c r="BH19" i="7"/>
  <c r="CZ18" i="7"/>
  <c r="CZ52" i="7"/>
  <c r="AP61" i="8"/>
  <c r="AP84" i="8"/>
  <c r="AP48" i="8"/>
  <c r="AP58" i="8" s="1"/>
  <c r="AF68" i="11"/>
  <c r="CG79" i="8"/>
  <c r="CG81" i="8" s="1"/>
  <c r="CG28" i="8"/>
  <c r="AP43" i="4"/>
  <c r="AO43" i="4" s="1"/>
  <c r="Q43" i="4"/>
  <c r="DH15" i="7"/>
  <c r="DH19" i="7"/>
  <c r="E55" i="3"/>
  <c r="BB19" i="7"/>
  <c r="CI18" i="7"/>
  <c r="CI52" i="7"/>
  <c r="Y13" i="4"/>
  <c r="Y14" i="4"/>
  <c r="CB18" i="7"/>
  <c r="I18" i="7" s="1"/>
  <c r="CB52" i="7"/>
  <c r="AK13" i="15"/>
  <c r="AJ19" i="7"/>
  <c r="CP15" i="7"/>
  <c r="CP19" i="7"/>
  <c r="CM18" i="7"/>
  <c r="CM52" i="7"/>
  <c r="AN34" i="11"/>
  <c r="E42" i="4"/>
  <c r="DH35" i="7"/>
  <c r="DH36" i="7"/>
  <c r="M32" i="7"/>
  <c r="V30" i="7"/>
  <c r="M40" i="7"/>
  <c r="K58" i="7"/>
  <c r="K59" i="7" s="1"/>
  <c r="M30" i="4"/>
  <c r="AK28" i="4"/>
  <c r="AE28" i="4"/>
  <c r="B28" i="4" s="1"/>
  <c r="M53" i="4"/>
  <c r="G53" i="7"/>
  <c r="G54" i="7" s="1"/>
  <c r="U44" i="4"/>
  <c r="DB19" i="7"/>
  <c r="DB15" i="7"/>
  <c r="CP36" i="7"/>
  <c r="CP35" i="7"/>
  <c r="CH79" i="8"/>
  <c r="CH81" i="8" s="1"/>
  <c r="CH28" i="8"/>
  <c r="J9" i="8"/>
  <c r="AO59" i="16"/>
  <c r="CI84" i="8"/>
  <c r="CI61" i="8"/>
  <c r="CI48" i="8"/>
  <c r="CI58" i="8" s="1"/>
  <c r="DB62" i="8"/>
  <c r="DB63" i="8" s="1"/>
  <c r="BJ63" i="8"/>
  <c r="AP28" i="15"/>
  <c r="AP68" i="11"/>
  <c r="W13" i="4"/>
  <c r="W14" i="4" s="1"/>
  <c r="K32" i="7"/>
  <c r="U30" i="7"/>
  <c r="K40" i="7"/>
  <c r="CG19" i="7"/>
  <c r="CY18" i="7"/>
  <c r="CY52" i="7"/>
  <c r="AG30" i="4"/>
  <c r="O34" i="4"/>
  <c r="AK12" i="15"/>
  <c r="AJ18" i="7"/>
  <c r="C22" i="4"/>
  <c r="E29" i="9"/>
  <c r="E31" i="9" s="1"/>
  <c r="E34" i="9" s="1"/>
  <c r="E25" i="9"/>
  <c r="AE60" i="16"/>
  <c r="AE61" i="16" s="1"/>
  <c r="AF60" i="16" s="1"/>
  <c r="AA61" i="16"/>
  <c r="AB60" i="16" s="1"/>
  <c r="AB61" i="16" s="1"/>
  <c r="AC60" i="16" s="1"/>
  <c r="AC61" i="16" s="1"/>
  <c r="AD60" i="16" s="1"/>
  <c r="AD61" i="16" s="1"/>
  <c r="AC30" i="4"/>
  <c r="K34" i="4"/>
  <c r="AS30" i="4"/>
  <c r="AR30" i="4" s="1"/>
  <c r="E53" i="7"/>
  <c r="E54" i="7" s="1"/>
  <c r="S44" i="4"/>
  <c r="AP39" i="4"/>
  <c r="AO39" i="4" s="1"/>
  <c r="Q39" i="4"/>
  <c r="A39" i="4" s="1"/>
  <c r="CU19" i="7"/>
  <c r="AO6" i="16"/>
  <c r="AO26" i="16" s="1"/>
  <c r="CI82" i="8"/>
  <c r="CJ79" i="8"/>
  <c r="CJ81" i="8" s="1"/>
  <c r="CJ82" i="8" s="1"/>
  <c r="CJ28" i="8"/>
  <c r="AO61" i="8"/>
  <c r="AO48" i="8"/>
  <c r="AO58" i="8" s="1"/>
  <c r="AO84" i="8"/>
  <c r="CJ15" i="7"/>
  <c r="CJ19" i="7" s="1"/>
  <c r="CH18" i="7"/>
  <c r="K18" i="7" s="1"/>
  <c r="CH52" i="7"/>
  <c r="Y23" i="4"/>
  <c r="S23" i="4"/>
  <c r="W23" i="4"/>
  <c r="DE18" i="7"/>
  <c r="DE52" i="7"/>
  <c r="CO18" i="7"/>
  <c r="CO52" i="7"/>
  <c r="I59" i="7"/>
  <c r="CV15" i="7"/>
  <c r="CV19" i="7" s="1"/>
  <c r="CN18" i="7"/>
  <c r="M18" i="7" s="1"/>
  <c r="CN52" i="7"/>
  <c r="C53" i="7"/>
  <c r="C54" i="7" s="1"/>
  <c r="Q44" i="4"/>
  <c r="AP44" i="4"/>
  <c r="AO44" i="4" s="1"/>
  <c r="AR61" i="8"/>
  <c r="AR84" i="8"/>
  <c r="AR48" i="8"/>
  <c r="AR58" i="8" s="1"/>
  <c r="J15" i="3"/>
  <c r="H15" i="3"/>
  <c r="DB35" i="7"/>
  <c r="DB36" i="7"/>
  <c r="I32" i="7"/>
  <c r="T30" i="7"/>
  <c r="I40" i="7"/>
  <c r="M59" i="7"/>
  <c r="C51" i="7"/>
  <c r="C52" i="7" s="1"/>
  <c r="E70" i="4"/>
  <c r="W34" i="4"/>
  <c r="Q34" i="4"/>
  <c r="E80" i="4"/>
  <c r="CY62" i="8"/>
  <c r="CY63" i="8" s="1"/>
  <c r="CX62" i="8"/>
  <c r="CX63" i="8" s="1"/>
  <c r="DA62" i="8"/>
  <c r="DA63" i="8" s="1"/>
  <c r="CZ62" i="8"/>
  <c r="CZ63" i="8" s="1"/>
  <c r="BF63" i="8"/>
  <c r="BG62" i="8" s="1"/>
  <c r="BG63" i="8" s="1"/>
  <c r="BH62" i="8" s="1"/>
  <c r="BH63" i="8" s="1"/>
  <c r="BI62" i="8" s="1"/>
  <c r="BI63" i="8" s="1"/>
  <c r="AK28" i="15"/>
  <c r="AK68" i="11"/>
  <c r="AE23" i="4"/>
  <c r="AK23" i="4"/>
  <c r="DG18" i="7"/>
  <c r="DG52" i="7"/>
  <c r="DE19" i="7"/>
  <c r="I34" i="4"/>
  <c r="U30" i="4"/>
  <c r="CV35" i="7"/>
  <c r="CV36" i="7"/>
  <c r="CT18" i="7"/>
  <c r="CT52" i="7"/>
  <c r="CN19" i="7"/>
  <c r="M19" i="7" s="1"/>
  <c r="M54" i="7" s="1"/>
  <c r="CU52" i="7"/>
  <c r="DF18" i="7"/>
  <c r="DF52" i="7"/>
  <c r="AR82" i="8"/>
  <c r="A44" i="4" l="1"/>
  <c r="CH84" i="8"/>
  <c r="CH61" i="8"/>
  <c r="CH48" i="8"/>
  <c r="CH58" i="8" s="1"/>
  <c r="J79" i="8"/>
  <c r="J28" i="8"/>
  <c r="Z9" i="8"/>
  <c r="AD9" i="8"/>
  <c r="B9" i="8" s="1"/>
  <c r="D61" i="8"/>
  <c r="L20" i="3"/>
  <c r="L21" i="3" s="1"/>
  <c r="L22" i="3" s="1"/>
  <c r="E19" i="3"/>
  <c r="C19" i="3"/>
  <c r="G19" i="3" s="1"/>
  <c r="Q49" i="7"/>
  <c r="Q50" i="7" s="1"/>
  <c r="W24" i="4"/>
  <c r="W25" i="4" s="1"/>
  <c r="C39" i="4"/>
  <c r="C36" i="4" s="1"/>
  <c r="A36" i="4"/>
  <c r="AJ60" i="16"/>
  <c r="AJ61" i="16" s="1"/>
  <c r="AK60" i="16" s="1"/>
  <c r="AF61" i="16"/>
  <c r="AG60" i="16" s="1"/>
  <c r="AG61" i="16" s="1"/>
  <c r="AH60" i="16" s="1"/>
  <c r="AH61" i="16" s="1"/>
  <c r="AI60" i="16" s="1"/>
  <c r="AI61" i="16" s="1"/>
  <c r="CH82" i="8"/>
  <c r="CP18" i="7"/>
  <c r="CP52" i="7"/>
  <c r="CG61" i="8"/>
  <c r="CG84" i="8"/>
  <c r="CG48" i="8"/>
  <c r="CG58" i="8" s="1"/>
  <c r="CJ18" i="7"/>
  <c r="CJ52" i="7"/>
  <c r="AZ62" i="8"/>
  <c r="BD62" i="8"/>
  <c r="BD63" i="8" s="1"/>
  <c r="M51" i="7"/>
  <c r="AG34" i="4"/>
  <c r="CG82" i="8"/>
  <c r="G16" i="3"/>
  <c r="C55" i="3"/>
  <c r="G34" i="4"/>
  <c r="S30" i="4"/>
  <c r="A30" i="4" s="1"/>
  <c r="AP30" i="4"/>
  <c r="AO30" i="4" s="1"/>
  <c r="G51" i="7"/>
  <c r="U34" i="4"/>
  <c r="Y24" i="4"/>
  <c r="Y25" i="4" s="1"/>
  <c r="AE30" i="4"/>
  <c r="B30" i="4" s="1"/>
  <c r="M34" i="4"/>
  <c r="C28" i="4"/>
  <c r="CV18" i="7"/>
  <c r="CV52" i="7"/>
  <c r="CJ84" i="8"/>
  <c r="CJ61" i="8"/>
  <c r="CJ48" i="8"/>
  <c r="CJ58" i="8" s="1"/>
  <c r="DB18" i="7"/>
  <c r="DB52" i="7"/>
  <c r="Q42" i="4"/>
  <c r="AP42" i="4"/>
  <c r="AO42" i="4" s="1"/>
  <c r="DH18" i="7"/>
  <c r="DH52" i="7"/>
  <c r="D89" i="8"/>
  <c r="P28" i="8"/>
  <c r="D48" i="8"/>
  <c r="T28" i="8"/>
  <c r="A28" i="8" s="1"/>
  <c r="D84" i="8"/>
  <c r="C44" i="4"/>
  <c r="C41" i="4" s="1"/>
  <c r="A41" i="4"/>
  <c r="G18" i="3"/>
  <c r="C20" i="3"/>
  <c r="G20" i="3" s="1"/>
  <c r="T79" i="8"/>
  <c r="D81" i="8"/>
  <c r="D82" i="8" s="1"/>
  <c r="C52" i="9"/>
  <c r="I51" i="7"/>
  <c r="AS34" i="4"/>
  <c r="AR34" i="4" s="1"/>
  <c r="K80" i="4"/>
  <c r="AC34" i="4"/>
  <c r="K70" i="4"/>
  <c r="C34" i="9"/>
  <c r="I34" i="9" s="1"/>
  <c r="J34" i="9" s="1"/>
  <c r="I31" i="9"/>
  <c r="J31" i="9" s="1"/>
  <c r="E20" i="3"/>
  <c r="P49" i="7"/>
  <c r="P50" i="7" s="1"/>
  <c r="AX62" i="8" l="1"/>
  <c r="AX63" i="8" s="1"/>
  <c r="AT62" i="8"/>
  <c r="CV62" i="8"/>
  <c r="CV63" i="8" s="1"/>
  <c r="CU62" i="8"/>
  <c r="CU63" i="8" s="1"/>
  <c r="CT62" i="8"/>
  <c r="CS62" i="8"/>
  <c r="CS63" i="8" s="1"/>
  <c r="CR62" i="8"/>
  <c r="CR63" i="8" s="1"/>
  <c r="AZ63" i="8"/>
  <c r="BA62" i="8" s="1"/>
  <c r="BA63" i="8" s="1"/>
  <c r="BB62" i="8" s="1"/>
  <c r="J20" i="3"/>
  <c r="H20" i="3"/>
  <c r="AO60" i="16"/>
  <c r="AO61" i="16" s="1"/>
  <c r="AK61" i="16"/>
  <c r="AL60" i="16" s="1"/>
  <c r="AL61" i="16" s="1"/>
  <c r="AM60" i="16" s="1"/>
  <c r="AM61" i="16" s="1"/>
  <c r="AN60" i="16" s="1"/>
  <c r="AN61" i="16" s="1"/>
  <c r="AD79" i="8"/>
  <c r="J81" i="8"/>
  <c r="J82" i="8" s="1"/>
  <c r="Z79" i="8"/>
  <c r="J16" i="3"/>
  <c r="H16" i="3"/>
  <c r="J89" i="8"/>
  <c r="J84" i="8"/>
  <c r="AD28" i="8"/>
  <c r="B28" i="8" s="1"/>
  <c r="A26" i="16" s="1"/>
  <c r="Z28" i="8"/>
  <c r="J48" i="8"/>
  <c r="E22" i="3"/>
  <c r="L23" i="3"/>
  <c r="C22" i="3"/>
  <c r="G22" i="3" s="1"/>
  <c r="T48" i="8"/>
  <c r="A48" i="8" s="1"/>
  <c r="P48" i="8"/>
  <c r="D58" i="8"/>
  <c r="E52" i="9"/>
  <c r="E53" i="9" s="1"/>
  <c r="K51" i="7"/>
  <c r="AE34" i="4"/>
  <c r="B34" i="4" s="1"/>
  <c r="M80" i="4"/>
  <c r="M70" i="4"/>
  <c r="P61" i="8"/>
  <c r="D93" i="8"/>
  <c r="J61" i="8"/>
  <c r="C53" i="9"/>
  <c r="C30" i="4"/>
  <c r="J19" i="3"/>
  <c r="H19" i="3"/>
  <c r="H18" i="3"/>
  <c r="J18" i="3"/>
  <c r="E51" i="7"/>
  <c r="Y34" i="4"/>
  <c r="S34" i="4"/>
  <c r="A34" i="4" s="1"/>
  <c r="G80" i="4"/>
  <c r="G70" i="4"/>
  <c r="AP34" i="4"/>
  <c r="AO34" i="4" s="1"/>
  <c r="J93" i="8" l="1"/>
  <c r="Z61" i="8"/>
  <c r="N62" i="8"/>
  <c r="N63" i="8" s="1"/>
  <c r="CT63" i="8"/>
  <c r="AD48" i="8"/>
  <c r="B48" i="8" s="1"/>
  <c r="Z48" i="8"/>
  <c r="J58" i="8"/>
  <c r="C34" i="4"/>
  <c r="T58" i="8"/>
  <c r="A58" i="8" s="1"/>
  <c r="P58" i="8"/>
  <c r="J22" i="3"/>
  <c r="H22" i="3"/>
  <c r="CO62" i="8"/>
  <c r="CO63" i="8" s="1"/>
  <c r="CN62" i="8"/>
  <c r="CM62" i="8"/>
  <c r="CM63" i="8" s="1"/>
  <c r="CL62" i="8"/>
  <c r="CL63" i="8" s="1"/>
  <c r="CP62" i="8"/>
  <c r="CP63" i="8" s="1"/>
  <c r="AT63" i="8"/>
  <c r="AU62" i="8" s="1"/>
  <c r="AU63" i="8" s="1"/>
  <c r="AV62" i="8" s="1"/>
  <c r="L24" i="3"/>
  <c r="E23" i="3"/>
  <c r="C23" i="3"/>
  <c r="G23" i="3" s="1"/>
  <c r="BB63" i="8"/>
  <c r="BC62" i="8" s="1"/>
  <c r="BC63" i="8" s="1"/>
  <c r="H62" i="8"/>
  <c r="H63" i="8" s="1"/>
  <c r="AN62" i="8"/>
  <c r="AR62" i="8"/>
  <c r="AR63" i="8" s="1"/>
  <c r="J23" i="3" l="1"/>
  <c r="H23" i="3"/>
  <c r="CN63" i="8"/>
  <c r="L62" i="8"/>
  <c r="Z58" i="8"/>
  <c r="AD58" i="8"/>
  <c r="B58" i="8" s="1"/>
  <c r="E24" i="3"/>
  <c r="L25" i="3"/>
  <c r="C24" i="3"/>
  <c r="CF62" i="8"/>
  <c r="CF63" i="8" s="1"/>
  <c r="CJ62" i="8"/>
  <c r="CJ63" i="8" s="1"/>
  <c r="CH62" i="8"/>
  <c r="CI62" i="8"/>
  <c r="CI63" i="8" s="1"/>
  <c r="CG62" i="8"/>
  <c r="CG63" i="8" s="1"/>
  <c r="AN63" i="8"/>
  <c r="AO62" i="8" s="1"/>
  <c r="AO63" i="8" s="1"/>
  <c r="AP62" i="8" s="1"/>
  <c r="AV63" i="8"/>
  <c r="AW62" i="8" s="1"/>
  <c r="AW63" i="8" s="1"/>
  <c r="F62" i="8"/>
  <c r="AB62" i="8" l="1"/>
  <c r="L63" i="8"/>
  <c r="AB63" i="8" s="1"/>
  <c r="D62" i="8"/>
  <c r="AP63" i="8"/>
  <c r="AQ62" i="8" s="1"/>
  <c r="AQ63" i="8" s="1"/>
  <c r="R62" i="8"/>
  <c r="F63" i="8"/>
  <c r="R63" i="8" s="1"/>
  <c r="L26" i="3"/>
  <c r="L27" i="3" s="1"/>
  <c r="L28" i="3" s="1"/>
  <c r="L29" i="3" s="1"/>
  <c r="L30" i="3" s="1"/>
  <c r="E25" i="3"/>
  <c r="E26" i="3" s="1"/>
  <c r="C25" i="3"/>
  <c r="J62" i="8"/>
  <c r="CH63" i="8"/>
  <c r="G24" i="3"/>
  <c r="E57" i="3" l="1"/>
  <c r="L31" i="3"/>
  <c r="E30" i="3"/>
  <c r="C30" i="3"/>
  <c r="J24" i="3"/>
  <c r="H24" i="3"/>
  <c r="P62" i="8"/>
  <c r="D63" i="8"/>
  <c r="Z62" i="8"/>
  <c r="J63" i="8"/>
  <c r="G25" i="3"/>
  <c r="C26" i="3"/>
  <c r="G26" i="3" l="1"/>
  <c r="C57" i="3"/>
  <c r="Z63" i="8"/>
  <c r="J96" i="8"/>
  <c r="L32" i="3"/>
  <c r="E31" i="3"/>
  <c r="C31" i="3"/>
  <c r="G30" i="3"/>
  <c r="J25" i="3"/>
  <c r="H25" i="3"/>
  <c r="P63" i="8"/>
  <c r="D96" i="8"/>
  <c r="J26" i="3" l="1"/>
  <c r="H26" i="3"/>
  <c r="L33" i="3"/>
  <c r="E32" i="3"/>
  <c r="C32" i="3"/>
  <c r="H30" i="3"/>
  <c r="J30" i="3"/>
  <c r="G31" i="3"/>
  <c r="G32" i="3" l="1"/>
  <c r="E33" i="3"/>
  <c r="L34" i="3"/>
  <c r="C33" i="3"/>
  <c r="G33" i="3" s="1"/>
  <c r="J31" i="3"/>
  <c r="H31" i="3"/>
  <c r="J33" i="3" l="1"/>
  <c r="H33" i="3"/>
  <c r="L35" i="3"/>
  <c r="E34" i="3"/>
  <c r="C34" i="3"/>
  <c r="G34" i="3" s="1"/>
  <c r="J32" i="3"/>
  <c r="H32" i="3"/>
  <c r="H34" i="3" l="1"/>
  <c r="J34" i="3"/>
  <c r="L36" i="3"/>
  <c r="L37" i="3" s="1"/>
  <c r="L38" i="3" s="1"/>
  <c r="E35" i="3"/>
  <c r="E36" i="3" s="1"/>
  <c r="C35" i="3"/>
  <c r="G35" i="3" s="1"/>
  <c r="C36" i="3" l="1"/>
  <c r="L39" i="3"/>
  <c r="L40" i="3" s="1"/>
  <c r="L41" i="3" s="1"/>
  <c r="E38" i="3"/>
  <c r="C38" i="3"/>
  <c r="G38" i="3" s="1"/>
  <c r="E59" i="3"/>
  <c r="E50" i="3"/>
  <c r="J35" i="3"/>
  <c r="H35" i="3"/>
  <c r="J38" i="3" l="1"/>
  <c r="H38" i="3"/>
  <c r="E41" i="3"/>
  <c r="L42" i="3"/>
  <c r="C41" i="3"/>
  <c r="G41" i="3" s="1"/>
  <c r="C59" i="3"/>
  <c r="G36" i="3"/>
  <c r="C50" i="3"/>
  <c r="J41" i="3" l="1"/>
  <c r="H41" i="3"/>
  <c r="L43" i="3"/>
  <c r="E42" i="3"/>
  <c r="C42" i="3"/>
  <c r="J36" i="3"/>
  <c r="H36" i="3"/>
  <c r="E43" i="3" l="1"/>
  <c r="L44" i="3"/>
  <c r="C43" i="3"/>
  <c r="G43" i="3" s="1"/>
  <c r="G42" i="3"/>
  <c r="J42" i="3" l="1"/>
  <c r="H42" i="3"/>
  <c r="J43" i="3"/>
  <c r="H43" i="3"/>
  <c r="L45" i="3"/>
  <c r="E44" i="3"/>
  <c r="C44" i="3"/>
  <c r="G44" i="3" s="1"/>
  <c r="E45" i="3" l="1"/>
  <c r="L46" i="3"/>
  <c r="C45" i="3"/>
  <c r="G45" i="3" s="1"/>
  <c r="J44" i="3"/>
  <c r="H44" i="3"/>
  <c r="J45" i="3" l="1"/>
  <c r="H45" i="3"/>
  <c r="L47" i="3"/>
  <c r="L48" i="3" s="1"/>
  <c r="E46" i="3"/>
  <c r="E47" i="3" s="1"/>
  <c r="C46" i="3"/>
  <c r="G46" i="3" s="1"/>
  <c r="C47" i="3" l="1"/>
  <c r="E61" i="3"/>
  <c r="E48" i="3"/>
  <c r="E62" i="3" s="1"/>
  <c r="J46" i="3"/>
  <c r="H46" i="3"/>
  <c r="G47" i="3" l="1"/>
  <c r="C61" i="3"/>
  <c r="C48" i="3"/>
  <c r="G48" i="3" l="1"/>
  <c r="C62" i="3"/>
  <c r="J47" i="3"/>
  <c r="H47" i="3"/>
  <c r="J48" i="3" l="1"/>
  <c r="H48" i="3"/>
</calcChain>
</file>

<file path=xl/sharedStrings.xml><?xml version="1.0" encoding="utf-8"?>
<sst xmlns="http://schemas.openxmlformats.org/spreadsheetml/2006/main" count="1422" uniqueCount="545">
  <si>
    <t xml:space="preserve">                                                                                                                                                                                                                                                                                                                                                                                                           </t>
  </si>
  <si>
    <t xml:space="preserve">                                                                                                                                </t>
  </si>
  <si>
    <t xml:space="preserve">                                                                                                                                                                                                                                                                                                 </t>
  </si>
  <si>
    <t xml:space="preserve">                                                                                                                     </t>
  </si>
  <si>
    <t>MASTER DATES PAGE</t>
  </si>
  <si>
    <t>UPDATE BLUE INPUT CELLS ONLY</t>
  </si>
  <si>
    <t xml:space="preserve">                                                                    </t>
  </si>
  <si>
    <t>Reporting Period</t>
  </si>
  <si>
    <t>Comparative:</t>
  </si>
  <si>
    <t>Current Cal Year</t>
  </si>
  <si>
    <t>2024</t>
  </si>
  <si>
    <t xml:space="preserve">                                                                                                                                                                                   </t>
  </si>
  <si>
    <t>Fiscal Year</t>
  </si>
  <si>
    <t>2025</t>
  </si>
  <si>
    <t>Fiscal Year 2</t>
  </si>
  <si>
    <t>fiscal 2025</t>
  </si>
  <si>
    <t xml:space="preserve">                              </t>
  </si>
  <si>
    <t>Signature Date</t>
  </si>
  <si>
    <t>Shares Outstanding</t>
  </si>
  <si>
    <t xml:space="preserve">            </t>
  </si>
  <si>
    <t>Press Release Date</t>
  </si>
  <si>
    <t xml:space="preserve">                                                      </t>
  </si>
  <si>
    <t>Signature pages:</t>
  </si>
  <si>
    <t>Report:</t>
  </si>
  <si>
    <t>Form:</t>
  </si>
  <si>
    <t>CELLS BELOW ARE FORMULA DRIVEN. LINK YOUR DATES OUT TO ALL APPLICABLE DOCUMENTS, PRESENTATIONS AND WORKBOOKS TO AID IN THE ROLL FORWARD PROCESS.</t>
  </si>
  <si>
    <t>ATTENTION: DO NOT LINK ANY OF THESE DATES TO THE XBRL DEI PAGE (SCROLL TO BOTTOM FOR DEI DATE SECTION)</t>
  </si>
  <si>
    <t>Prior Cal Years</t>
  </si>
  <si>
    <t>Comparative labels</t>
  </si>
  <si>
    <t>Prior Fiscal Years</t>
  </si>
  <si>
    <t>Year to Date (in months)</t>
  </si>
  <si>
    <t>Qtr to Date (in months)</t>
  </si>
  <si>
    <t>THREE MONTHS ENDED</t>
  </si>
  <si>
    <t>Three months ended</t>
  </si>
  <si>
    <t>Three Months Ended</t>
  </si>
  <si>
    <t>three months ended</t>
  </si>
  <si>
    <t>For the three months ended</t>
  </si>
  <si>
    <t>QTD and YTD</t>
  </si>
  <si>
    <t>Three</t>
  </si>
  <si>
    <t>Quarter number</t>
  </si>
  <si>
    <t>Period end calendar date</t>
  </si>
  <si>
    <t>Current period end</t>
  </si>
  <si>
    <t>Prior year period end</t>
  </si>
  <si>
    <t>Two years prior period end</t>
  </si>
  <si>
    <t>Three years prior period end</t>
  </si>
  <si>
    <t>Chain Link</t>
  </si>
  <si>
    <t>Fiscal years (long name)</t>
  </si>
  <si>
    <t>Current year end</t>
  </si>
  <si>
    <t>Prior year end</t>
  </si>
  <si>
    <t>Two years prior end</t>
  </si>
  <si>
    <t>Three years prior end</t>
  </si>
  <si>
    <t>Dates w/text</t>
  </si>
  <si>
    <t>QTD Period Dates</t>
  </si>
  <si>
    <t>YTD Period Dates</t>
  </si>
  <si>
    <t>Wrapping Text</t>
  </si>
  <si>
    <t>Future Years</t>
  </si>
  <si>
    <t>LINK TO XBRL DEI PAGE ONLY</t>
  </si>
  <si>
    <t>Current Fiscal 
Year End Date</t>
  </si>
  <si>
    <t>Document 
Period End Date</t>
  </si>
  <si>
    <t>Document 
Fiscal Year Focus</t>
  </si>
  <si>
    <t>Document 
Fiscal Period Focus (Q1,Q2,Q3,FY)</t>
  </si>
  <si>
    <t>quarter</t>
  </si>
  <si>
    <t>Shares Outstanding Date</t>
  </si>
  <si>
    <t>Shares Issued</t>
  </si>
  <si>
    <t>Shares in Treasury</t>
  </si>
  <si>
    <t>Entity Common Stock, Shares Outstanding</t>
  </si>
  <si>
    <t>CCC:</t>
  </si>
  <si>
    <t>$vci5tbr</t>
  </si>
  <si>
    <t>SEC PW</t>
  </si>
  <si>
    <t>@$LiveRamp24</t>
  </si>
  <si>
    <t>Record holders date</t>
  </si>
  <si>
    <t>Record holders #</t>
  </si>
  <si>
    <t>LIVERAMP HOLDINGS, INC. AND SUBSIDIARIES</t>
  </si>
  <si>
    <t>Testing 1</t>
  </si>
  <si>
    <t>CONDENSED CONSOLIDATED BALANCE SHEETS</t>
  </si>
  <si>
    <t>Testing 2</t>
  </si>
  <si>
    <t>(Dollars in thousands)</t>
  </si>
  <si>
    <t>Historical balances:</t>
  </si>
  <si>
    <t>Testing 3</t>
  </si>
  <si>
    <t>$</t>
  </si>
  <si>
    <t>%</t>
  </si>
  <si>
    <t>For linnking:</t>
  </si>
  <si>
    <t>Row #:</t>
  </si>
  <si>
    <t>INPUT Section</t>
  </si>
  <si>
    <t>As filed</t>
  </si>
  <si>
    <t>Variance</t>
  </si>
  <si>
    <t>inc/dec</t>
  </si>
  <si>
    <t>12/31/20</t>
  </si>
  <si>
    <t>9/30/20</t>
  </si>
  <si>
    <t>6/30/20</t>
  </si>
  <si>
    <t>Assets</t>
  </si>
  <si>
    <t>Current assets:</t>
  </si>
  <si>
    <t>Cash and cash equivalents</t>
  </si>
  <si>
    <t>Restricted cash</t>
  </si>
  <si>
    <t>Short-term investments</t>
  </si>
  <si>
    <t>Trade accounts receivable, net</t>
  </si>
  <si>
    <t>Refundable income taxes, net</t>
  </si>
  <si>
    <t>Other current assets</t>
  </si>
  <si>
    <t>Total current assets</t>
  </si>
  <si>
    <t>Property and equipment</t>
  </si>
  <si>
    <t>Less - accumulated depreciation and amortization</t>
  </si>
  <si>
    <t>Property and equipment, net</t>
  </si>
  <si>
    <t>Intangible assets, net</t>
  </si>
  <si>
    <t>Goodwill</t>
  </si>
  <si>
    <t>Deferred commissions, net</t>
  </si>
  <si>
    <t>Other assets, net</t>
  </si>
  <si>
    <t>Liabilities and Stockholders' Equity</t>
  </si>
  <si>
    <t>Current liabilities:</t>
  </si>
  <si>
    <t>Trade accounts payable</t>
  </si>
  <si>
    <t>Accrued payroll and related expenses</t>
  </si>
  <si>
    <t>Other accrued expenses</t>
  </si>
  <si>
    <t>Acquisition escrow payable</t>
  </si>
  <si>
    <t>Deferred revenue</t>
  </si>
  <si>
    <t>Income taxes payable</t>
  </si>
  <si>
    <t>Total current liabilities</t>
  </si>
  <si>
    <t>Other liabilities</t>
  </si>
  <si>
    <t>Stockholders' equity:</t>
  </si>
  <si>
    <t>Preferred stock</t>
  </si>
  <si>
    <t>Common stock</t>
  </si>
  <si>
    <t>Additional paid-in capital</t>
  </si>
  <si>
    <t>Retained earnings</t>
  </si>
  <si>
    <t>Accumulated other comprehensive income</t>
  </si>
  <si>
    <t>Treasury stock, at cost</t>
  </si>
  <si>
    <t>Total stockholders' equity</t>
  </si>
  <si>
    <t>NWC</t>
  </si>
  <si>
    <t>Validations of PR Fins:</t>
  </si>
  <si>
    <t>Source: 2.BalSht (PR Fins)</t>
  </si>
  <si>
    <t>Source: BS Restatement file:</t>
  </si>
  <si>
    <t>BS Restatement P&amp;L</t>
  </si>
  <si>
    <t>Current assets</t>
  </si>
  <si>
    <t>VAR</t>
  </si>
  <si>
    <t>Total assets</t>
  </si>
  <si>
    <t>Current liabilities</t>
  </si>
  <si>
    <t>Total equity</t>
  </si>
  <si>
    <t>Net of total assets and total liability/equity</t>
  </si>
  <si>
    <t>10k parentheticals:</t>
  </si>
  <si>
    <t>Par value</t>
  </si>
  <si>
    <t>Authorized (million)</t>
  </si>
  <si>
    <t>Issued (million)</t>
  </si>
  <si>
    <t>Treasury Stock</t>
  </si>
  <si>
    <t>Shares</t>
  </si>
  <si>
    <t>PY</t>
  </si>
  <si>
    <t>10q Source:</t>
  </si>
  <si>
    <t>10q/10k Source:</t>
  </si>
  <si>
    <t>CONSOLIDATED STATEMENTS OF OPERATIONS</t>
  </si>
  <si>
    <t>(Unaudited)</t>
  </si>
  <si>
    <t>For linking:</t>
  </si>
  <si>
    <t>(Dollars in thousands, except per share amounts)</t>
  </si>
  <si>
    <t>Current Period Results:</t>
  </si>
  <si>
    <t>Indibidual Qtr Results:</t>
  </si>
  <si>
    <t>Individual Qtr Results:</t>
  </si>
  <si>
    <t>Individual YTD Results:</t>
  </si>
  <si>
    <t>Qtr-to-Qtr</t>
  </si>
  <si>
    <t>Yr-to-Yr</t>
  </si>
  <si>
    <t>Format for current period filing</t>
  </si>
  <si>
    <t>QTD</t>
  </si>
  <si>
    <t>YTD</t>
  </si>
  <si>
    <t>Input Section:</t>
  </si>
  <si>
    <t>See cumulative section</t>
  </si>
  <si>
    <t>Cumulative FY25 YTD</t>
  </si>
  <si>
    <t>Cumulative FY24 YTD</t>
  </si>
  <si>
    <t>Cumulative FY23 YTD</t>
  </si>
  <si>
    <t>Cumulative FY22 YTD</t>
  </si>
  <si>
    <t>Cumulative FY21 YTD</t>
  </si>
  <si>
    <t>Cumulative FY20 YTD</t>
  </si>
  <si>
    <t>Cumulative FY19 YTD</t>
  </si>
  <si>
    <t>Cumulative FY18 YTD</t>
  </si>
  <si>
    <t>2-QTD presentation</t>
  </si>
  <si>
    <t>2-YTD presentation</t>
  </si>
  <si>
    <t>2-QTD &amp; YTD presentation</t>
  </si>
  <si>
    <t>Row#</t>
  </si>
  <si>
    <t>FY2025</t>
  </si>
  <si>
    <t>FY2024</t>
  </si>
  <si>
    <t>FY2023</t>
  </si>
  <si>
    <t>FY2022</t>
  </si>
  <si>
    <t>FY2021</t>
  </si>
  <si>
    <t>FY2020</t>
  </si>
  <si>
    <t>FY2019</t>
  </si>
  <si>
    <t>YTD 2018</t>
  </si>
  <si>
    <t>YTD 2017</t>
  </si>
  <si>
    <t>Revenues</t>
  </si>
  <si>
    <t>Cost of revenue</t>
  </si>
  <si>
    <t>Gross profit</t>
  </si>
  <si>
    <t>% Gross margin</t>
  </si>
  <si>
    <t>Operating expenses</t>
  </si>
  <si>
    <t>Research and development</t>
  </si>
  <si>
    <t>Sales and marketing</t>
  </si>
  <si>
    <t>General and administrative</t>
  </si>
  <si>
    <t>Gains, losses and other items, net</t>
  </si>
  <si>
    <t>Total operating expenses</t>
  </si>
  <si>
    <t>% Margin</t>
  </si>
  <si>
    <t>Total other income, net</t>
  </si>
  <si>
    <t>Income tax expense</t>
  </si>
  <si>
    <t>Earnings from discontinued operations, net of tax</t>
  </si>
  <si>
    <t>Net loss</t>
  </si>
  <si>
    <t>Continuing operations</t>
  </si>
  <si>
    <t>Discontinued operations</t>
  </si>
  <si>
    <t>GAAP Basic &amp; Diluted Shares</t>
  </si>
  <si>
    <t>Basic weighted average shares</t>
  </si>
  <si>
    <t>Reported Diluted weighted average shares</t>
  </si>
  <si>
    <t>Calculated Diluted weighted average shares</t>
  </si>
  <si>
    <t>Calculated Dilutive Shares</t>
  </si>
  <si>
    <t>Dilutive Shares</t>
  </si>
  <si>
    <t>Effective tax rate</t>
  </si>
  <si>
    <t>FY20q4 note:  Starting in this pieriod, adjusted EPS formula to round to 3 decimal points to align with IR</t>
  </si>
  <si>
    <t>Disaggregation of Revenue:</t>
  </si>
  <si>
    <t>Subscription</t>
  </si>
  <si>
    <t>Marketplace and Other</t>
  </si>
  <si>
    <t>Total Revenue</t>
  </si>
  <si>
    <t>Validation: Var to total Rev above</t>
  </si>
  <si>
    <t>United States</t>
  </si>
  <si>
    <t>Europe</t>
  </si>
  <si>
    <t>Asia-Pacific ("APAC")</t>
  </si>
  <si>
    <t>Other</t>
  </si>
  <si>
    <t>Validations:</t>
  </si>
  <si>
    <t>2.IS Qtr</t>
  </si>
  <si>
    <t>IS Ytd</t>
  </si>
  <si>
    <t>Net earnings (loss)</t>
  </si>
  <si>
    <t>Gross Profit</t>
  </si>
  <si>
    <t>Opex</t>
  </si>
  <si>
    <t>Basic Shares</t>
  </si>
  <si>
    <t>2.NG EPS qtr/ytd</t>
  </si>
  <si>
    <t>Other Customer Details</t>
  </si>
  <si>
    <t>FY 17</t>
  </si>
  <si>
    <t>Q1 18</t>
  </si>
  <si>
    <t>Q2 18</t>
  </si>
  <si>
    <t>Q3 18</t>
  </si>
  <si>
    <t>Q4 18</t>
  </si>
  <si>
    <t>FY 18</t>
  </si>
  <si>
    <t>Q1 19</t>
  </si>
  <si>
    <t>Q2 19</t>
  </si>
  <si>
    <t>Q3 19</t>
  </si>
  <si>
    <t>Q4 19</t>
  </si>
  <si>
    <t>FY 19</t>
  </si>
  <si>
    <t>Q1 20</t>
  </si>
  <si>
    <t>Q2 20</t>
  </si>
  <si>
    <t>Q3 20</t>
  </si>
  <si>
    <t>Q4 20</t>
  </si>
  <si>
    <t>FY 20</t>
  </si>
  <si>
    <t>Q1 21</t>
  </si>
  <si>
    <t>Q2 21</t>
  </si>
  <si>
    <t>Q3 21</t>
  </si>
  <si>
    <t>Q4 21</t>
  </si>
  <si>
    <t>FY 21</t>
  </si>
  <si>
    <t>Q1 22</t>
  </si>
  <si>
    <t>Q2 22</t>
  </si>
  <si>
    <t>Q3 22</t>
  </si>
  <si>
    <t>Q4 22</t>
  </si>
  <si>
    <t>FY 22</t>
  </si>
  <si>
    <t>Q1 23</t>
  </si>
  <si>
    <t>Q2 23</t>
  </si>
  <si>
    <t>Q3 23</t>
  </si>
  <si>
    <t>Q4 23</t>
  </si>
  <si>
    <t>FY 23</t>
  </si>
  <si>
    <t>Q1 24</t>
  </si>
  <si>
    <t>Q2 24</t>
  </si>
  <si>
    <t>Q3 24</t>
  </si>
  <si>
    <t>Q4 24</t>
  </si>
  <si>
    <t>FY 24</t>
  </si>
  <si>
    <t>Q1 25</t>
  </si>
  <si>
    <t>Q2 25</t>
  </si>
  <si>
    <t>Q3 25</t>
  </si>
  <si>
    <t>Q4 25</t>
  </si>
  <si>
    <t>FY 25</t>
  </si>
  <si>
    <t>&gt;$1M Customers</t>
  </si>
  <si>
    <t>Direct Subscription Customers</t>
  </si>
  <si>
    <t>For press release linking:</t>
  </si>
  <si>
    <t>Current Period Comparative Results:</t>
  </si>
  <si>
    <t>Variance from Prior QTD</t>
  </si>
  <si>
    <t>Narrative variance fom Prior QTD</t>
  </si>
  <si>
    <t>Row #s</t>
  </si>
  <si>
    <t>Cumulative FY254 YTD</t>
  </si>
  <si>
    <t>Gross profit, continuing operations:</t>
  </si>
  <si>
    <t>Excluded items:</t>
  </si>
  <si>
    <t>Function</t>
  </si>
  <si>
    <t>Account</t>
  </si>
  <si>
    <t>Purchased intangible asset amortization (cost of revenue)</t>
  </si>
  <si>
    <t>Purchased intangible amort</t>
  </si>
  <si>
    <t>Non-cash stock compensation (cost of revenue)</t>
  </si>
  <si>
    <t>SBC</t>
  </si>
  <si>
    <t>Non-cash stock compensation (research and development)</t>
  </si>
  <si>
    <t>Non-cash stock compensation (sales and marketing)</t>
  </si>
  <si>
    <t>Non-cash stock compensation (general and administrative)</t>
  </si>
  <si>
    <t>Accelerated depreciation (cost of revenue)</t>
  </si>
  <si>
    <t>Accel Amort</t>
  </si>
  <si>
    <t>Accelerated depreciation (general and administrative)</t>
  </si>
  <si>
    <t>Restructuring charges (gains, losses, and other)</t>
  </si>
  <si>
    <t>Restructuring</t>
  </si>
  <si>
    <t>Transformation costs (general and administrative)</t>
  </si>
  <si>
    <t>Separation transformation</t>
  </si>
  <si>
    <t>Gain on retained profits interest (other income)</t>
  </si>
  <si>
    <t>Total excluded items</t>
  </si>
  <si>
    <t>Gross profit, excluding items:</t>
  </si>
  <si>
    <t>TR validations of newly designed data schedule:</t>
  </si>
  <si>
    <t>TR ck</t>
  </si>
  <si>
    <t>For Narrative Discussion:</t>
  </si>
  <si>
    <t>Cost of revenue, net of excluded items</t>
  </si>
  <si>
    <t>Operating expenses, net of excluded items</t>
  </si>
  <si>
    <t>SBC in Opex</t>
  </si>
  <si>
    <t>Manual inputs required rows</t>
  </si>
  <si>
    <t>RECONCILIATION OF GAAP TO NON-GAAP EPS (1)</t>
  </si>
  <si>
    <t>FY2018</t>
  </si>
  <si>
    <t>YTD FY2017</t>
  </si>
  <si>
    <t>Income (loss) from continuing operations before income taxes</t>
  </si>
  <si>
    <t>Net earnings loss from continuing operations</t>
  </si>
  <si>
    <t>Loss per share:</t>
  </si>
  <si>
    <t>Basic</t>
  </si>
  <si>
    <t>Diluted</t>
  </si>
  <si>
    <t>Non-cash stock compensation (cost of revenue and operating expenses)</t>
  </si>
  <si>
    <t>Accelerated amortization (cost of revenue and operating expenses)</t>
  </si>
  <si>
    <t>Restructuring and merger charges (gains, losses, and other)</t>
  </si>
  <si>
    <t xml:space="preserve"> Total excluded items from continuing operations</t>
  </si>
  <si>
    <t>Income from continuing operations before income taxes and excluding items</t>
  </si>
  <si>
    <t>Income tax expense (2)</t>
  </si>
  <si>
    <t>Non-GAAP net earnings from continuing operations</t>
  </si>
  <si>
    <t>Non-GAAP earnings per share from continuing operations:</t>
  </si>
  <si>
    <t>Yr Over Yr Change</t>
  </si>
  <si>
    <t>Diluted weighted average shares, Non-GAAP</t>
  </si>
  <si>
    <t>Effective income tax rate</t>
  </si>
  <si>
    <t>Some totals may not add due to rounding</t>
  </si>
  <si>
    <t>NG Income from Operations:</t>
  </si>
  <si>
    <t>GAAP Income from operations</t>
  </si>
  <si>
    <t>NG Income from Operations</t>
  </si>
  <si>
    <t>Operating Margin</t>
  </si>
  <si>
    <t>Validations: Sources</t>
  </si>
  <si>
    <t>PrevFiled</t>
  </si>
  <si>
    <t>PR Fins</t>
  </si>
  <si>
    <t>Net earnings (loss) 1.Input IS Trend</t>
  </si>
  <si>
    <t>Diluted earnings (loss) per share 1.Input IS Trend</t>
  </si>
  <si>
    <t>Total excluded items 1.Input NG Expense</t>
  </si>
  <si>
    <t>NG net earnings before taxes, 1.Input NG Expense</t>
  </si>
  <si>
    <t>Please review this colored label.</t>
  </si>
  <si>
    <t>Cash Flow trend</t>
  </si>
  <si>
    <t>$ Var to Prior Period</t>
  </si>
  <si>
    <t>Qtr Ending:</t>
  </si>
  <si>
    <t>QTD (2qtr) presentation</t>
  </si>
  <si>
    <t>YTD (2yr) presentation</t>
  </si>
  <si>
    <t>Cash flows from operating activities:</t>
  </si>
  <si>
    <t>Non-cash operating activities:</t>
  </si>
  <si>
    <t>Depreciation and amortization</t>
  </si>
  <si>
    <t>Lease-related impairment and restructuring charges</t>
  </si>
  <si>
    <t>Gain on sale of strategic investments</t>
  </si>
  <si>
    <t>Gain on distribution from retained profits interest</t>
  </si>
  <si>
    <t>Provision for doubtful accounts</t>
  </si>
  <si>
    <t>Impairment of goodwill</t>
  </si>
  <si>
    <t>Deferred income taxes</t>
  </si>
  <si>
    <t>Non-cash stock compensation expense</t>
  </si>
  <si>
    <t>Changes in operating assets and liabilities:</t>
  </si>
  <si>
    <t>Accounts receivable, net</t>
  </si>
  <si>
    <t>Deferred commissions</t>
  </si>
  <si>
    <t>Other assets</t>
  </si>
  <si>
    <t>Accounts payable and other liabilities</t>
  </si>
  <si>
    <t>Income taxes</t>
  </si>
  <si>
    <t>Cash flows from investing activities:</t>
  </si>
  <si>
    <t>Capitalized software</t>
  </si>
  <si>
    <t>Capital expenditures</t>
  </si>
  <si>
    <t>Proceeds from sales of assets</t>
  </si>
  <si>
    <t>Cash paid in acquisitions, net of cash received</t>
  </si>
  <si>
    <t>Distribution from retained profits interest</t>
  </si>
  <si>
    <t>Purchases of investments</t>
  </si>
  <si>
    <t>Proceeds from sales of investments</t>
  </si>
  <si>
    <t>Proceeds from sale of strategic investment</t>
  </si>
  <si>
    <t>Purchases of strategic investments</t>
  </si>
  <si>
    <t>Cash flows from financing activities:</t>
  </si>
  <si>
    <t>Payments of debt</t>
  </si>
  <si>
    <t>Fees from debt refinancing</t>
  </si>
  <si>
    <t>Proceeds related to the issuance of common stock under stock and employee benefit plans</t>
  </si>
  <si>
    <t>Shares repurchased for tax withholdings upon vesting of stock-based awards</t>
  </si>
  <si>
    <t>Acquisition of treasury stock from tender offer</t>
  </si>
  <si>
    <t>Acquisition of treasury stock</t>
  </si>
  <si>
    <t>Cash Flow Pg 2</t>
  </si>
  <si>
    <t>Cash flows from discontinued operations:</t>
  </si>
  <si>
    <t>From operating activities</t>
  </si>
  <si>
    <t>From investing activities</t>
  </si>
  <si>
    <t>From financing activities</t>
  </si>
  <si>
    <t>Effect of exchange rate changes on cash</t>
  </si>
  <si>
    <t>Net change in cash, cash equivalents and restricted cash</t>
  </si>
  <si>
    <t>Cash, cash equivalents and restricted cash at beginning of period</t>
  </si>
  <si>
    <t>Cash, cash equivalents and restricted cash at end of period</t>
  </si>
  <si>
    <t>Supplemental cash flow information:</t>
  </si>
  <si>
    <t>Cash received for tenant improvement allowances</t>
  </si>
  <si>
    <t>Cash paid for operating lease liabilities</t>
  </si>
  <si>
    <t>Non-cash investing and financing activities:</t>
  </si>
  <si>
    <t>Leasehold improvements paid directly by lessor</t>
  </si>
  <si>
    <t xml:space="preserve">Operating lease assets obtained in exchange for operating lease liabilities </t>
  </si>
  <si>
    <t>Operating lease assets, and related lease liabilities, relinquished in lease terminations</t>
  </si>
  <si>
    <t>Purchases of property, plant and equipment remaining unpaid at period end</t>
  </si>
  <si>
    <t>*</t>
  </si>
  <si>
    <t>Excise tax payable on net stock repurchases</t>
  </si>
  <si>
    <t>*Note: this is a period end balance; it is not an accumulating balance.</t>
  </si>
  <si>
    <t>Other analytical items for reporting:</t>
  </si>
  <si>
    <t>Net earnings (loss) adjusted for non-cash operating items</t>
  </si>
  <si>
    <t>Total net changes in operating assets and liabilities</t>
  </si>
  <si>
    <t>Total of other analytical items:</t>
  </si>
  <si>
    <t>Validation:</t>
  </si>
  <si>
    <t>Free Cash Flow to Equity</t>
  </si>
  <si>
    <t>PR Fins CF from Oper</t>
  </si>
  <si>
    <t xml:space="preserve">Validations should not be on this tab. This is the source document for all SOCF data. </t>
  </si>
  <si>
    <t>Var</t>
  </si>
  <si>
    <t>PR Fins CF from Fin</t>
  </si>
  <si>
    <t>PR Fins total change in cash</t>
  </si>
  <si>
    <t>BS ending cash</t>
  </si>
  <si>
    <t>Ending restricted cash</t>
  </si>
  <si>
    <t>Supplemental not disclosed:</t>
  </si>
  <si>
    <t>Tenant improvement allowances</t>
  </si>
  <si>
    <t>PPE purchased on account</t>
  </si>
  <si>
    <t>Payments on capital leases and installment payment arrangements</t>
  </si>
  <si>
    <t>Other debt payments</t>
  </si>
  <si>
    <t>Prepayment of debt</t>
  </si>
  <si>
    <t>For Narrative discussion:</t>
  </si>
  <si>
    <t>Net cash PROVIDED by operating</t>
  </si>
  <si>
    <t>CONDENSED CONSOLIDATED STATEMENTS OF OPERATIONS</t>
  </si>
  <si>
    <t>Operating expenses:</t>
  </si>
  <si>
    <t>Income (loss) from operations</t>
  </si>
  <si>
    <t>Income tax expense (benefit)</t>
  </si>
  <si>
    <t>Net earnings (loss) from continuing operations</t>
  </si>
  <si>
    <t>Basic earnings (loss) per share</t>
  </si>
  <si>
    <t>Diluted earnings (loss) per share</t>
  </si>
  <si>
    <t>Diluted weighted average shares</t>
  </si>
  <si>
    <t>IS Trend</t>
  </si>
  <si>
    <t>LiveRamp Financial Data</t>
  </si>
  <si>
    <t xml:space="preserve">FY17 to </t>
  </si>
  <si>
    <t>This file contains downloadable content that is derived from more comprehensive information contained in our quarterly earnings releases and periodic reports and other filings with the Securities and Exchange Commission which can be found on LiveRamp's Investor Relations site at https://investors.liveramp.come.</t>
  </si>
  <si>
    <t>Trended Historical Financial Statements &amp; Reconciliation Tables:</t>
  </si>
  <si>
    <t>Inc Stmt, GAAP &amp; NG</t>
  </si>
  <si>
    <t>GAAP to Non-GAAP Inc Stmt Trended</t>
  </si>
  <si>
    <t>EBITDA Trended</t>
  </si>
  <si>
    <t>Revenue &amp; Customer Detail Trended</t>
  </si>
  <si>
    <t>EPS Trended</t>
  </si>
  <si>
    <t>Cash Flow Trended</t>
  </si>
  <si>
    <t>Balance Sheet Trended</t>
  </si>
  <si>
    <t>GAAP Income Statement</t>
  </si>
  <si>
    <t>$000's, except per share amounts</t>
  </si>
  <si>
    <t xml:space="preserve">  % Margin</t>
  </si>
  <si>
    <t>Total other income (expense), net</t>
  </si>
  <si>
    <t>Earnings (loss) from continuing operations before income taxes</t>
  </si>
  <si>
    <t>Income taxes (benefit)</t>
  </si>
  <si>
    <t xml:space="preserve">Net earnings (loss) from continuing operations </t>
  </si>
  <si>
    <t xml:space="preserve">Diluted earnings (loss) per share </t>
  </si>
  <si>
    <t>Diluted earnings (loss) per share continuing operations</t>
  </si>
  <si>
    <t>Some totals may not sum due to rounding</t>
  </si>
  <si>
    <t>FY 17 revenue includes $20,375,000 in Acxiom Impact revenue which was divested in 2016.</t>
  </si>
  <si>
    <t>LiveRamp Holding, Inc.</t>
  </si>
  <si>
    <t>Non GAAP Income Statement</t>
  </si>
  <si>
    <t>Total other income (expense),net</t>
  </si>
  <si>
    <t xml:space="preserve">GAAP to Non-GAAP </t>
  </si>
  <si>
    <t>Income Statement Metric Reconciliation</t>
  </si>
  <si>
    <t xml:space="preserve"> Q4 20 </t>
  </si>
  <si>
    <t>Total Revenue *</t>
  </si>
  <si>
    <t>Gross Profit (GAAP)</t>
  </si>
  <si>
    <t>% of Revenue</t>
  </si>
  <si>
    <t>Purchased intangible asset amortization</t>
  </si>
  <si>
    <t>Non-cash stock compensation</t>
  </si>
  <si>
    <t>Accelerated depreciation</t>
  </si>
  <si>
    <t>Gross Profit - Non-GAAP</t>
  </si>
  <si>
    <t xml:space="preserve">   % of Revenue</t>
  </si>
  <si>
    <t>R&amp;D (GAAP)</t>
  </si>
  <si>
    <t>R&amp;D - Non-GAAP</t>
  </si>
  <si>
    <t>S&amp;M (GAAP)</t>
  </si>
  <si>
    <t>S&amp;M - Non-GAAP</t>
  </si>
  <si>
    <t>G&amp;A (GAAP)</t>
  </si>
  <si>
    <t>Separation &amp; transformation costs</t>
  </si>
  <si>
    <t>G&amp;A - Non-GAAP</t>
  </si>
  <si>
    <t>Income (loss) from operations (GAAP)</t>
  </si>
  <si>
    <t>Restructuring &amp; merger charges</t>
  </si>
  <si>
    <t>Income (loss) from operations - Non-GAAP</t>
  </si>
  <si>
    <t>Income / (loss) from continuing ops before tax (GAAP)</t>
  </si>
  <si>
    <t xml:space="preserve">Gain on retained profits interest </t>
  </si>
  <si>
    <t>Income / (loss) from continuing ops before tax - Non-GAAP</t>
  </si>
  <si>
    <r>
      <rPr>
        <i/>
        <sz val="10"/>
        <color rgb="FF000000"/>
        <rFont val="Arial"/>
      </rPr>
      <t>*FY 17 revenue includes $20,375,000 in Acxiom Impact revenue which was divested in 2016.</t>
    </r>
  </si>
  <si>
    <t>Adjusted EBITDA Reconciliation</t>
  </si>
  <si>
    <t>$000's, Non-GAAP</t>
  </si>
  <si>
    <t>Net earnings (loss) from continuing operations (GAAP)</t>
  </si>
  <si>
    <t>Total other (income) expense, net</t>
  </si>
  <si>
    <t>EBITDA</t>
  </si>
  <si>
    <t>Other adjustments:</t>
  </si>
  <si>
    <t>Restructuring and merger charges</t>
  </si>
  <si>
    <t>Separation and transformation</t>
  </si>
  <si>
    <t>Adjusted EBITDA</t>
  </si>
  <si>
    <t>Revenue &amp; Customer Detail</t>
  </si>
  <si>
    <t xml:space="preserve">$000's   </t>
  </si>
  <si>
    <t>Revenue by Type</t>
  </si>
  <si>
    <t>Subscription Revenue</t>
  </si>
  <si>
    <t>Marketplace &amp; Other Revenue</t>
  </si>
  <si>
    <t>Revenue by Geography</t>
  </si>
  <si>
    <t>US Revenue</t>
  </si>
  <si>
    <t>International Revenue</t>
  </si>
  <si>
    <t xml:space="preserve">   &gt;$1M Customers</t>
  </si>
  <si>
    <t xml:space="preserve">   Direct Subscription Customers</t>
  </si>
  <si>
    <t>GAAP to Non-GAAP EPS Reconciliation</t>
  </si>
  <si>
    <t>Income (loss) from continuing ops before income taxes</t>
  </si>
  <si>
    <t>GAAP Net earnings (loss) from continuing ops</t>
  </si>
  <si>
    <t>Earnings (loss) per share:</t>
  </si>
  <si>
    <t>Purchased intangible asset amortization (CoR)</t>
  </si>
  <si>
    <t>Non-cash stock compensation (CoR &amp; Opex)</t>
  </si>
  <si>
    <t>Restructuring &amp; merger charges (gains, losses, &amp; other)</t>
  </si>
  <si>
    <t>Separation &amp; transformation costs (G&amp;A)</t>
  </si>
  <si>
    <t>Accelerated depreciation (CoR &amp; Opex)</t>
  </si>
  <si>
    <t xml:space="preserve">Total excluded items, continuing operations </t>
  </si>
  <si>
    <t>Income (loss) from continuing operations before income taxes &amp; excluding items</t>
  </si>
  <si>
    <t xml:space="preserve">Non-GAAP earnings (loss) from continuing ops  </t>
  </si>
  <si>
    <t>Non-GAAP earnings (loss) per share from continuing ops:</t>
  </si>
  <si>
    <t>Statement of Cash Flows</t>
  </si>
  <si>
    <t>$000s</t>
  </si>
  <si>
    <t>Net earnings (loss) (GAAP)</t>
  </si>
  <si>
    <t>Loss (gain) on disposal or impairment of assets</t>
  </si>
  <si>
    <t>Loss on early extinguishment of debt</t>
  </si>
  <si>
    <t>Disposition of operations</t>
  </si>
  <si>
    <t>Proceeds from debt</t>
  </si>
  <si>
    <t>Net cash provided by (used in) financing activities</t>
  </si>
  <si>
    <t>Balance Sheet</t>
  </si>
  <si>
    <t>Q4 17</t>
  </si>
  <si>
    <t>ASSETS</t>
  </si>
  <si>
    <t xml:space="preserve">   Cash and cash equivalents</t>
  </si>
  <si>
    <t xml:space="preserve">   Short term investments</t>
  </si>
  <si>
    <t xml:space="preserve">   Restricted cash</t>
  </si>
  <si>
    <t xml:space="preserve">   Trade accounts receivable, net</t>
  </si>
  <si>
    <t xml:space="preserve">   Refundable income taxes, net</t>
  </si>
  <si>
    <t xml:space="preserve">   Other current assets</t>
  </si>
  <si>
    <t xml:space="preserve">   Assets from discontinued operations</t>
  </si>
  <si>
    <t xml:space="preserve">  Property and equipment</t>
  </si>
  <si>
    <t xml:space="preserve">   Less - accumulated depreciation and amortization</t>
  </si>
  <si>
    <t xml:space="preserve">   Intangible assets, net</t>
  </si>
  <si>
    <t xml:space="preserve">   Goodwill                                             </t>
  </si>
  <si>
    <t xml:space="preserve">   Deferred commissions, net</t>
  </si>
  <si>
    <t xml:space="preserve">   Other assets, net</t>
  </si>
  <si>
    <t>LIABILITIES AND STOCKHOLDERS' EQUITY</t>
  </si>
  <si>
    <t xml:space="preserve">   Current installments of long-term debt</t>
  </si>
  <si>
    <t xml:space="preserve">   Trade accounts payable</t>
  </si>
  <si>
    <t xml:space="preserve">   Accrued payroll and related expenses</t>
  </si>
  <si>
    <t xml:space="preserve">   Other accrued expenses</t>
  </si>
  <si>
    <t xml:space="preserve">   Acquisition escrow payable</t>
  </si>
  <si>
    <t xml:space="preserve">   Deferred revenue</t>
  </si>
  <si>
    <t xml:space="preserve">   Income taxes payable</t>
  </si>
  <si>
    <t xml:space="preserve">   Liabilities from discontinued operations</t>
  </si>
  <si>
    <t xml:space="preserve">   Long-term debt</t>
  </si>
  <si>
    <t xml:space="preserve">   Deferred income taxes</t>
  </si>
  <si>
    <t xml:space="preserve">   Other liabilities</t>
  </si>
  <si>
    <t xml:space="preserve"> Stockholders' equity:</t>
  </si>
  <si>
    <t xml:space="preserve">  Common stock</t>
  </si>
  <si>
    <t xml:space="preserve">  Additional paid-in capital</t>
  </si>
  <si>
    <t xml:space="preserve">  Retained earnings</t>
  </si>
  <si>
    <t xml:space="preserve">  Accumulated other comprehensive income</t>
  </si>
  <si>
    <t xml:space="preserve">  Treasury stock, at cost</t>
  </si>
  <si>
    <t>Total liabilities &amp; equity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</si>
</sst>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164" formatCode="###0;&quot;-&quot;###0;###0;_(@_)"/>
    <numFmt numFmtId="165" formatCode="#0;&quot;-&quot;#0;#0;_(@_)"/>
    <numFmt numFmtId="166" formatCode="mmmm\ d\,\ yyyy"/>
    <numFmt numFmtId="167" formatCode="* #,##0;* \(#,##0\);* &quot;-&quot;;_(@_)"/>
    <numFmt numFmtId="168" formatCode="&quot;&quot;* #,##0,_);&quot;&quot;* \(#,##0,\);&quot;&quot;* &quot;-&quot;_);_(@_)"/>
    <numFmt numFmtId="169" formatCode="* #,##0,;* \(#,##0,\);* &quot;-&quot;;_(@_)"/>
    <numFmt numFmtId="170" formatCode="#,##0.0_)%;\(#,##0.0\)%;&quot;-&quot;_)\%;_(@_)"/>
    <numFmt numFmtId="171" formatCode="* #,##0,;* \(#,##0,\);* &quot;—&quot;;_(@_)"/>
    <numFmt numFmtId="172" formatCode="m/dd/yy"/>
    <numFmt numFmtId="173" formatCode="&quot;$&quot;* #,##0.00_);&quot;$&quot;* \(#,##0.00\);&quot;$&quot;* &quot;—&quot;_);_(@_)"/>
    <numFmt numFmtId="174" formatCode="#0.0,,;&quot;-&quot;#0.0,,;#0.0,,;_(@_)"/>
    <numFmt numFmtId="175" formatCode="&quot;$&quot;* #,##0,_);&quot;$&quot;* \(#,##0,\);&quot;$&quot;* &quot;—&quot;_);_(@_)"/>
    <numFmt numFmtId="176" formatCode="#,##0;\(#,##0\);&quot;-&quot;;_(@_)"/>
    <numFmt numFmtId="177" formatCode="#0.0_)%;\(#0.0\)%;&quot;-&quot;_)\%;_(@_)"/>
    <numFmt numFmtId="178" formatCode="* #,##0.0000;* \(#,##0.0000\);* &quot;—&quot;;_(@_)"/>
    <numFmt numFmtId="179" formatCode="* #0,;* \(#0,\);* &quot;-&quot;;_(@_)"/>
    <numFmt numFmtId="180" formatCode="&quot;$&quot;* #,##0,_);&quot;$&quot;* \(#,##0,\);&quot;$&quot;* &quot;-&quot;_);_(@_)"/>
    <numFmt numFmtId="181" formatCode="&quot;$&quot;* #,##0.00_);&quot;$&quot;* \(#,##0.00\);&quot;$&quot;* #,##0.00_);_(@_)"/>
    <numFmt numFmtId="182" formatCode="* #,##0.00;* \(#,##0.00\);* &quot;-&quot;;_(@_)"/>
    <numFmt numFmtId="183" formatCode="* #,##0.00;* \(#,##0.00\);* #,##0.00;_(@_)"/>
    <numFmt numFmtId="184" formatCode="#,##0,;&quot;-&quot;#,##0,;#,##0,;_(@_)"/>
    <numFmt numFmtId="185" formatCode="#0.00_)%;\(#0.00\)%;&quot;—&quot;_)\%;_(@_)"/>
    <numFmt numFmtId="186" formatCode="#0.0_)%;\(#0.0\)%;&quot;—&quot;_)\%;_(@_)"/>
    <numFmt numFmtId="187" formatCode="mm/dd/yy"/>
    <numFmt numFmtId="188" formatCode="* #,##0;* \(#,##0\);* &quot;—&quot;;_(@_)"/>
    <numFmt numFmtId="189" formatCode="* #,##0.00;* \(#,##0.00\);* &quot;—&quot;;_(@_)"/>
    <numFmt numFmtId="190" formatCode="#,##0;&quot;-&quot;#,##0;#,##0;_(@_)"/>
    <numFmt numFmtId="191" formatCode="#0,;&quot;-&quot;#0,;#0,;_(@_)"/>
  </numFmts>
  <fonts count="37" x14ac:knownFonts="1">
    <font>
      <sz val="10"/>
      <name val="Arial"/>
    </font>
    <font>
      <sz val="10"/>
      <color rgb="FF000000"/>
      <name val="Arial"/>
    </font>
    <font>
      <sz val="12"/>
      <color rgb="FF000000"/>
      <name val="Arial"/>
    </font>
    <font>
      <b/>
      <sz val="18"/>
      <color rgb="FF000000"/>
      <name val="Arial"/>
    </font>
    <font>
      <b/>
      <sz val="16"/>
      <color rgb="FF000000"/>
      <name val="Arial"/>
    </font>
    <font>
      <sz val="14"/>
      <color rgb="FF000000"/>
      <name val="Arial"/>
    </font>
    <font>
      <b/>
      <sz val="10"/>
      <color rgb="FF000000"/>
      <name val="Arial"/>
    </font>
    <font>
      <b/>
      <sz val="10"/>
      <color rgb="FFFF0000"/>
      <name val="Arial"/>
    </font>
    <font>
      <b/>
      <i/>
      <sz val="18"/>
      <color rgb="FF000000"/>
      <name val="Arial"/>
    </font>
    <font>
      <b/>
      <sz val="9"/>
      <color rgb="FFFF6155"/>
      <name val="Arial"/>
    </font>
    <font>
      <b/>
      <sz val="9"/>
      <color rgb="FF000000"/>
      <name val="Arial"/>
    </font>
    <font>
      <b/>
      <sz val="9"/>
      <color rgb="FFFF0000"/>
      <name val="Arial"/>
    </font>
    <font>
      <b/>
      <sz val="8"/>
      <color rgb="FF000000"/>
      <name val="Arial"/>
    </font>
    <font>
      <b/>
      <sz val="10"/>
      <color rgb="FFFF6155"/>
      <name val="Arial"/>
    </font>
    <font>
      <sz val="8"/>
      <color rgb="FF000000"/>
      <name val="Arial"/>
    </font>
    <font>
      <sz val="10"/>
      <color rgb="FF000000"/>
      <name val="Times New Roman"/>
    </font>
    <font>
      <sz val="8"/>
      <color rgb="FF661DE8"/>
      <name val="Arial"/>
    </font>
    <font>
      <b/>
      <sz val="8"/>
      <color rgb="FF661DE8"/>
      <name val="Arial"/>
    </font>
    <font>
      <b/>
      <sz val="7"/>
      <color rgb="FF661DE8"/>
      <name val="Arial"/>
    </font>
    <font>
      <sz val="7"/>
      <color rgb="FF000000"/>
      <name val="Arial"/>
    </font>
    <font>
      <sz val="7"/>
      <color rgb="FF661DE8"/>
      <name val="Arial"/>
    </font>
    <font>
      <sz val="7"/>
      <color rgb="FFEE2724"/>
      <name val="Arial"/>
    </font>
    <font>
      <sz val="8"/>
      <color rgb="FFEE2724"/>
      <name val="Arial"/>
    </font>
    <font>
      <b/>
      <sz val="8"/>
      <color rgb="FFEE2724"/>
      <name val="Arial"/>
    </font>
    <font>
      <b/>
      <i/>
      <sz val="8"/>
      <color rgb="FF000000"/>
      <name val="Arial"/>
    </font>
    <font>
      <i/>
      <sz val="8"/>
      <color rgb="FF000000"/>
      <name val="Arial"/>
    </font>
    <font>
      <sz val="10"/>
      <color rgb="FFEE2724"/>
      <name val="Arial"/>
    </font>
    <font>
      <sz val="10"/>
      <color rgb="FF661DE8"/>
      <name val="Arial"/>
    </font>
    <font>
      <i/>
      <sz val="8"/>
      <color rgb="FFEE2724"/>
      <name val="Arial"/>
    </font>
    <font>
      <sz val="8"/>
      <color rgb="FF000000"/>
      <name val="Times New Roman"/>
    </font>
    <font>
      <b/>
      <i/>
      <sz val="10"/>
      <color rgb="FF000000"/>
      <name val="Arial"/>
    </font>
    <font>
      <b/>
      <sz val="12"/>
      <color rgb="FF000000"/>
      <name val="Arial"/>
    </font>
    <font>
      <i/>
      <sz val="10"/>
      <color rgb="FF000000"/>
      <name val="Arial"/>
    </font>
    <font>
      <sz val="8"/>
      <color rgb="FF3051F2"/>
      <name val="Arial"/>
    </font>
    <font>
      <sz val="8"/>
      <color rgb="FF0A2299"/>
      <name val="Arial"/>
    </font>
    <font>
      <b/>
      <u/>
      <sz val="10"/>
      <color rgb="FF000000"/>
      <name val="Arial"/>
    </font>
    <font>
      <u/>
      <sz val="10"/>
      <color theme="10"/>
      <name val="Arial"/>
    </font>
  </fonts>
  <fills count="15">
    <fill>
      <patternFill patternType="none"/>
    </fill>
    <fill>
      <patternFill patternType="gray125"/>
    </fill>
    <fill>
      <patternFill patternType="solid">
        <fgColor rgb="FFCCEEFF"/>
        <bgColor indexed="64"/>
      </patternFill>
    </fill>
    <fill>
      <patternFill patternType="solid">
        <fgColor rgb="FFFFFF00"/>
        <bgColor indexed="64"/>
      </patternFill>
    </fill>
    <fill>
      <patternFill patternType="solid">
        <fgColor rgb="FFFFCAC6"/>
        <bgColor indexed="64"/>
      </patternFill>
    </fill>
    <fill>
      <patternFill patternType="solid">
        <fgColor rgb="FFBFE4FF"/>
        <bgColor indexed="64"/>
      </patternFill>
    </fill>
    <fill>
      <patternFill patternType="solid">
        <fgColor rgb="FFCBCBCB"/>
        <bgColor indexed="64"/>
      </patternFill>
    </fill>
    <fill>
      <patternFill patternType="solid">
        <fgColor rgb="FFFEEAC5"/>
        <bgColor indexed="64"/>
      </patternFill>
    </fill>
    <fill>
      <patternFill patternType="solid">
        <fgColor rgb="FFFBC150"/>
        <bgColor indexed="64"/>
      </patternFill>
    </fill>
    <fill>
      <patternFill patternType="solid">
        <fgColor rgb="FF000000"/>
        <bgColor indexed="64"/>
      </patternFill>
    </fill>
    <fill>
      <patternFill patternType="solid">
        <fgColor rgb="FFDBDBDB"/>
        <bgColor indexed="64"/>
      </patternFill>
    </fill>
    <fill>
      <patternFill patternType="solid">
        <fgColor rgb="FFB3B3B3"/>
        <bgColor indexed="64"/>
      </patternFill>
    </fill>
    <fill>
      <patternFill patternType="solid">
        <fgColor rgb="FFD8D8D8"/>
        <bgColor indexed="64"/>
      </patternFill>
    </fill>
    <fill>
      <patternFill patternType="solid">
        <fgColor rgb="FFFDD68B"/>
        <bgColor indexed="64"/>
      </patternFill>
    </fill>
    <fill>
      <patternFill patternType="solid">
        <fgColor rgb="FFFFDE0F"/>
        <bgColor indexed="64"/>
      </patternFill>
    </fill>
  </fills>
  <borders count="27">
    <border>
      <left/>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double">
        <color rgb="FF000000"/>
      </bottom>
      <diagonal/>
    </border>
    <border>
      <left/>
      <right/>
      <top style="double">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double">
        <color rgb="FF000000"/>
      </bottom>
      <diagonal/>
    </border>
    <border>
      <left/>
      <right/>
      <top style="double">
        <color rgb="FF000000"/>
      </top>
      <bottom style="double">
        <color rgb="FF000000"/>
      </bottom>
      <diagonal/>
    </border>
    <border>
      <left style="thin">
        <color rgb="FF000000"/>
      </left>
      <right style="thin">
        <color rgb="FF000000"/>
      </right>
      <top style="thin">
        <color rgb="FF000000"/>
      </top>
      <bottom style="thin">
        <color rgb="FF000000"/>
      </bottom>
      <diagonal/>
    </border>
    <border>
      <left style="thin">
        <color rgb="FF339900"/>
      </left>
      <right/>
      <top style="thin">
        <color rgb="FF339900"/>
      </top>
      <bottom/>
      <diagonal/>
    </border>
    <border>
      <left/>
      <right/>
      <top style="thin">
        <color rgb="FF339900"/>
      </top>
      <bottom/>
      <diagonal/>
    </border>
    <border>
      <left/>
      <right style="thin">
        <color rgb="FF339900"/>
      </right>
      <top style="thin">
        <color rgb="FF339900"/>
      </top>
      <bottom/>
      <diagonal/>
    </border>
    <border>
      <left style="thin">
        <color rgb="FF339900"/>
      </left>
      <right/>
      <top/>
      <bottom style="thin">
        <color rgb="FF339900"/>
      </bottom>
      <diagonal/>
    </border>
    <border>
      <left/>
      <right/>
      <top/>
      <bottom style="thin">
        <color rgb="FF339900"/>
      </bottom>
      <diagonal/>
    </border>
    <border>
      <left/>
      <right style="thin">
        <color rgb="FF339900"/>
      </right>
      <top/>
      <bottom style="thin">
        <color rgb="FF339900"/>
      </bottom>
      <diagonal/>
    </border>
    <border>
      <left style="thin">
        <color rgb="FF339900"/>
      </left>
      <right/>
      <top/>
      <bottom/>
      <diagonal/>
    </border>
  </borders>
  <cellStyleXfs count="7">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0" fontId="36" fillId="0" borderId="0" applyNumberFormat="0" applyFill="0" applyBorder="0" applyAlignment="0" applyProtection="0"/>
  </cellStyleXfs>
  <cellXfs count="412">
    <xf numFmtId="0" fontId="0" fillId="0" borderId="0" xfId="0"/>
    <xf numFmtId="0" fontId="1" fillId="0" borderId="0" xfId="1">
      <alignment wrapText="1"/>
    </xf>
    <xf numFmtId="0" fontId="6" fillId="0" borderId="0" xfId="0" applyFont="1" applyAlignment="1">
      <alignment horizontal="left" wrapText="1"/>
    </xf>
    <xf numFmtId="0" fontId="7" fillId="0" borderId="0" xfId="0" applyFont="1" applyAlignment="1">
      <alignment horizontal="left" wrapText="1"/>
    </xf>
    <xf numFmtId="0" fontId="10" fillId="2" borderId="2" xfId="0" applyFont="1" applyFill="1" applyBorder="1" applyAlignment="1">
      <alignment horizontal="left" vertical="center" wrapText="1"/>
    </xf>
    <xf numFmtId="164" fontId="11" fillId="2" borderId="3" xfId="0" applyNumberFormat="1" applyFont="1" applyFill="1" applyBorder="1" applyAlignment="1">
      <alignment horizontal="left" vertical="center" wrapText="1"/>
    </xf>
    <xf numFmtId="0" fontId="6" fillId="0" borderId="4" xfId="0" applyFont="1" applyBorder="1" applyAlignment="1">
      <alignment horizontal="right" wrapText="1"/>
    </xf>
    <xf numFmtId="0" fontId="10" fillId="2" borderId="4" xfId="0" applyFont="1" applyFill="1" applyBorder="1" applyAlignment="1">
      <alignment horizontal="left" vertical="center" wrapText="1"/>
    </xf>
    <xf numFmtId="165" fontId="11" fillId="2" borderId="5" xfId="0" applyNumberFormat="1" applyFont="1" applyFill="1" applyBorder="1" applyAlignment="1">
      <alignment horizontal="right" vertical="center" wrapText="1"/>
    </xf>
    <xf numFmtId="0" fontId="6" fillId="0" borderId="4" xfId="0" applyFont="1" applyBorder="1" applyAlignment="1">
      <alignment horizontal="left" wrapText="1"/>
    </xf>
    <xf numFmtId="166" fontId="11" fillId="2" borderId="5" xfId="0" applyNumberFormat="1" applyFont="1" applyFill="1" applyBorder="1" applyAlignment="1">
      <alignment horizontal="left" vertical="center" wrapText="1"/>
    </xf>
    <xf numFmtId="0" fontId="10" fillId="2" borderId="6" xfId="0" applyFont="1" applyFill="1" applyBorder="1" applyAlignment="1">
      <alignment horizontal="left" vertical="center" wrapText="1"/>
    </xf>
    <xf numFmtId="166" fontId="11" fillId="2" borderId="7" xfId="0" applyNumberFormat="1" applyFont="1" applyFill="1" applyBorder="1" applyAlignment="1">
      <alignment horizontal="left" vertical="center" wrapText="1"/>
    </xf>
    <xf numFmtId="0" fontId="12" fillId="0" borderId="0" xfId="0" applyFont="1" applyAlignment="1">
      <alignment horizontal="left" wrapText="1"/>
    </xf>
    <xf numFmtId="0" fontId="12" fillId="0" borderId="4" xfId="0" applyFont="1" applyBorder="1" applyAlignment="1">
      <alignment horizontal="left" wrapText="1"/>
    </xf>
    <xf numFmtId="165" fontId="12" fillId="0" borderId="0" xfId="0" applyNumberFormat="1" applyFont="1" applyAlignment="1">
      <alignment horizontal="left" wrapText="1"/>
    </xf>
    <xf numFmtId="0" fontId="12" fillId="0" borderId="8" xfId="0" applyFont="1" applyBorder="1" applyAlignment="1">
      <alignment horizontal="left" wrapText="1"/>
    </xf>
    <xf numFmtId="0" fontId="1" fillId="0" borderId="4" xfId="0" applyFont="1" applyBorder="1" applyAlignment="1">
      <alignment wrapText="1"/>
    </xf>
    <xf numFmtId="14" fontId="14" fillId="0" borderId="9" xfId="0" applyNumberFormat="1" applyFont="1" applyBorder="1" applyAlignment="1">
      <alignment horizontal="left" wrapText="1"/>
    </xf>
    <xf numFmtId="0" fontId="14" fillId="0" borderId="9" xfId="0" applyFont="1" applyBorder="1" applyAlignment="1">
      <alignment horizontal="left" wrapText="1"/>
    </xf>
    <xf numFmtId="166" fontId="14" fillId="0" borderId="4" xfId="0" applyNumberFormat="1" applyFont="1" applyBorder="1" applyAlignment="1">
      <alignment wrapText="1"/>
    </xf>
    <xf numFmtId="166" fontId="14" fillId="0" borderId="0" xfId="0" applyNumberFormat="1" applyFont="1" applyAlignment="1">
      <alignment horizontal="left" wrapText="1"/>
    </xf>
    <xf numFmtId="0" fontId="14" fillId="0" borderId="0" xfId="0" applyFont="1" applyAlignment="1">
      <alignment horizontal="left" wrapText="1"/>
    </xf>
    <xf numFmtId="166" fontId="14" fillId="0" borderId="9" xfId="0" applyNumberFormat="1" applyFont="1" applyBorder="1" applyAlignment="1">
      <alignment horizontal="left" wrapText="1"/>
    </xf>
    <xf numFmtId="0" fontId="12" fillId="0" borderId="10" xfId="0" applyFont="1" applyBorder="1" applyAlignment="1">
      <alignment horizontal="left" wrapText="1"/>
    </xf>
    <xf numFmtId="0" fontId="12" fillId="0" borderId="11" xfId="0" applyFont="1" applyBorder="1" applyAlignment="1">
      <alignment horizontal="left" wrapText="1"/>
    </xf>
    <xf numFmtId="0" fontId="12" fillId="0" borderId="9" xfId="0" applyFont="1" applyBorder="1" applyAlignment="1">
      <alignment horizontal="left" wrapText="1"/>
    </xf>
    <xf numFmtId="0" fontId="12" fillId="0" borderId="3" xfId="0" applyFont="1" applyBorder="1" applyAlignment="1">
      <alignment horizontal="left" wrapText="1"/>
    </xf>
    <xf numFmtId="0" fontId="12" fillId="0" borderId="5" xfId="0" applyFont="1" applyBorder="1" applyAlignment="1">
      <alignment horizontal="left" wrapText="1"/>
    </xf>
    <xf numFmtId="0" fontId="12" fillId="0" borderId="0" xfId="0" applyFont="1" applyAlignment="1">
      <alignment horizontal="center" wrapText="1"/>
    </xf>
    <xf numFmtId="0" fontId="12" fillId="0" borderId="5" xfId="0" applyFont="1" applyBorder="1" applyAlignment="1">
      <alignment horizontal="center" wrapText="1"/>
    </xf>
    <xf numFmtId="165" fontId="12" fillId="0" borderId="0" xfId="0" applyNumberFormat="1" applyFont="1" applyAlignment="1">
      <alignment horizontal="center" wrapText="1"/>
    </xf>
    <xf numFmtId="165" fontId="12" fillId="0" borderId="8" xfId="0" applyNumberFormat="1" applyFont="1" applyBorder="1" applyAlignment="1">
      <alignment horizontal="center" wrapText="1"/>
    </xf>
    <xf numFmtId="14" fontId="10" fillId="2" borderId="2" xfId="0" applyNumberFormat="1" applyFont="1" applyFill="1" applyBorder="1" applyAlignment="1">
      <alignment horizontal="left" vertical="center" wrapText="1"/>
    </xf>
    <xf numFmtId="14" fontId="10" fillId="2" borderId="3" xfId="0" applyNumberFormat="1" applyFont="1" applyFill="1" applyBorder="1" applyAlignment="1">
      <alignment horizontal="left" vertical="center" wrapText="1"/>
    </xf>
    <xf numFmtId="14" fontId="10" fillId="2" borderId="4" xfId="0" applyNumberFormat="1" applyFont="1" applyFill="1" applyBorder="1" applyAlignment="1">
      <alignment horizontal="left" vertical="center" wrapText="1"/>
    </xf>
    <xf numFmtId="166" fontId="10" fillId="2" borderId="5" xfId="0" applyNumberFormat="1" applyFont="1" applyFill="1" applyBorder="1" applyAlignment="1">
      <alignment horizontal="left" vertical="center" wrapText="1"/>
    </xf>
    <xf numFmtId="165" fontId="10" fillId="2" borderId="5" xfId="0" applyNumberFormat="1" applyFont="1" applyFill="1" applyBorder="1" applyAlignment="1">
      <alignment horizontal="left" vertical="center" wrapText="1"/>
    </xf>
    <xf numFmtId="0" fontId="10" fillId="2" borderId="5" xfId="0" applyFont="1" applyFill="1" applyBorder="1" applyAlignment="1">
      <alignment horizontal="left" vertical="center" wrapText="1"/>
    </xf>
    <xf numFmtId="166" fontId="10" fillId="2" borderId="7" xfId="0" applyNumberFormat="1" applyFont="1" applyFill="1" applyBorder="1" applyAlignment="1">
      <alignment horizontal="left" vertical="center" wrapText="1"/>
    </xf>
    <xf numFmtId="167" fontId="1" fillId="0" borderId="0" xfId="0" applyNumberFormat="1" applyFont="1" applyAlignment="1">
      <alignment wrapText="1"/>
    </xf>
    <xf numFmtId="0" fontId="12" fillId="2" borderId="0" xfId="0" applyFont="1" applyFill="1" applyAlignment="1">
      <alignment horizontal="left" wrapText="1"/>
    </xf>
    <xf numFmtId="167" fontId="1" fillId="2" borderId="0" xfId="0" applyNumberFormat="1" applyFont="1" applyFill="1" applyAlignment="1">
      <alignment wrapText="1"/>
    </xf>
    <xf numFmtId="166" fontId="10" fillId="2" borderId="0" xfId="0" applyNumberFormat="1" applyFont="1" applyFill="1" applyAlignment="1">
      <alignment horizontal="left" vertical="center" wrapText="1"/>
    </xf>
    <xf numFmtId="0" fontId="6" fillId="0" borderId="9" xfId="0" applyFont="1" applyBorder="1" applyAlignment="1">
      <alignment horizontal="left" wrapText="1"/>
    </xf>
    <xf numFmtId="0" fontId="14" fillId="0" borderId="4" xfId="0" applyFont="1" applyBorder="1" applyAlignment="1">
      <alignment horizontal="left" wrapText="1"/>
    </xf>
    <xf numFmtId="0" fontId="14" fillId="0" borderId="4" xfId="0" applyFont="1" applyBorder="1" applyAlignment="1">
      <alignment wrapText="1"/>
    </xf>
    <xf numFmtId="14" fontId="14" fillId="0" borderId="4" xfId="0" applyNumberFormat="1" applyFont="1" applyBorder="1" applyAlignment="1">
      <alignment horizontal="left" wrapText="1"/>
    </xf>
    <xf numFmtId="14" fontId="12" fillId="0" borderId="4" xfId="0" applyNumberFormat="1" applyFont="1" applyBorder="1" applyAlignment="1">
      <alignment horizontal="left" wrapText="1"/>
    </xf>
    <xf numFmtId="0" fontId="12" fillId="0" borderId="6" xfId="0" applyFont="1" applyBorder="1" applyAlignment="1">
      <alignment horizontal="left" wrapText="1"/>
    </xf>
    <xf numFmtId="0" fontId="1" fillId="0" borderId="9" xfId="0" applyFont="1" applyBorder="1" applyAlignment="1">
      <alignment wrapText="1"/>
    </xf>
    <xf numFmtId="0" fontId="1" fillId="0" borderId="0" xfId="0" applyFont="1" applyAlignment="1">
      <alignment horizontal="center" wrapText="1"/>
    </xf>
    <xf numFmtId="165" fontId="1" fillId="3" borderId="0" xfId="0" applyNumberFormat="1" applyFont="1" applyFill="1" applyAlignment="1">
      <alignment wrapText="1"/>
    </xf>
    <xf numFmtId="0" fontId="1" fillId="3" borderId="0" xfId="0" applyFont="1" applyFill="1" applyAlignment="1">
      <alignment wrapText="1"/>
    </xf>
    <xf numFmtId="0" fontId="16" fillId="0" borderId="0" xfId="0" applyFont="1" applyAlignment="1">
      <alignment wrapText="1"/>
    </xf>
    <xf numFmtId="0" fontId="17" fillId="0" borderId="0" xfId="0" applyFont="1" applyAlignment="1">
      <alignment wrapText="1"/>
    </xf>
    <xf numFmtId="0" fontId="6" fillId="4" borderId="0" xfId="0" applyFont="1" applyFill="1" applyAlignment="1">
      <alignment wrapText="1"/>
    </xf>
    <xf numFmtId="0" fontId="16" fillId="0" borderId="0" xfId="0" applyFont="1" applyAlignment="1">
      <alignment horizontal="center" wrapText="1"/>
    </xf>
    <xf numFmtId="0" fontId="16" fillId="5" borderId="0" xfId="0" applyFont="1" applyFill="1" applyAlignment="1">
      <alignment horizontal="center" wrapText="1"/>
    </xf>
    <xf numFmtId="166" fontId="1" fillId="0" borderId="8" xfId="0" applyNumberFormat="1" applyFont="1" applyBorder="1" applyAlignment="1">
      <alignment horizontal="center" wrapText="1"/>
    </xf>
    <xf numFmtId="0" fontId="1" fillId="0" borderId="8" xfId="0" applyFont="1" applyBorder="1" applyAlignment="1">
      <alignment horizontal="center" wrapText="1"/>
    </xf>
    <xf numFmtId="0" fontId="16" fillId="0" borderId="8" xfId="0" applyFont="1" applyBorder="1" applyAlignment="1">
      <alignment wrapText="1"/>
    </xf>
    <xf numFmtId="165" fontId="1" fillId="4" borderId="0" xfId="0" applyNumberFormat="1" applyFont="1" applyFill="1" applyAlignment="1">
      <alignment wrapText="1"/>
    </xf>
    <xf numFmtId="14" fontId="14" fillId="0" borderId="8" xfId="0" applyNumberFormat="1" applyFont="1" applyBorder="1" applyAlignment="1">
      <alignment horizontal="center" wrapText="1"/>
    </xf>
    <xf numFmtId="14" fontId="14" fillId="5" borderId="8" xfId="0" applyNumberFormat="1" applyFont="1" applyFill="1" applyBorder="1" applyAlignment="1">
      <alignment horizontal="center" wrapText="1"/>
    </xf>
    <xf numFmtId="0" fontId="14" fillId="0" borderId="8" xfId="0" applyFont="1" applyBorder="1" applyAlignment="1">
      <alignment horizontal="center" wrapText="1"/>
    </xf>
    <xf numFmtId="0" fontId="1" fillId="0" borderId="0" xfId="0" applyFont="1" applyAlignment="1">
      <alignment horizontal="left" wrapText="1"/>
    </xf>
    <xf numFmtId="0" fontId="1" fillId="0" borderId="0" xfId="0" applyFont="1" applyAlignment="1">
      <alignment horizontal="left" wrapText="1" indent="1"/>
    </xf>
    <xf numFmtId="168" fontId="1" fillId="0" borderId="0" xfId="0" applyNumberFormat="1" applyFont="1" applyAlignment="1">
      <alignment wrapText="1"/>
    </xf>
    <xf numFmtId="169" fontId="1" fillId="0" borderId="0" xfId="0" applyNumberFormat="1" applyFont="1" applyAlignment="1">
      <alignment wrapText="1"/>
    </xf>
    <xf numFmtId="170" fontId="1" fillId="0" borderId="0" xfId="0" applyNumberFormat="1" applyFont="1" applyAlignment="1">
      <alignment horizontal="right" wrapText="1"/>
    </xf>
    <xf numFmtId="168" fontId="14" fillId="0" borderId="0" xfId="0" applyNumberFormat="1" applyFont="1" applyAlignment="1">
      <alignment wrapText="1"/>
    </xf>
    <xf numFmtId="169" fontId="14" fillId="0" borderId="0" xfId="0" applyNumberFormat="1" applyFont="1" applyAlignment="1">
      <alignment wrapText="1"/>
    </xf>
    <xf numFmtId="168" fontId="1" fillId="0" borderId="8" xfId="0" applyNumberFormat="1" applyFont="1" applyBorder="1" applyAlignment="1">
      <alignment wrapText="1"/>
    </xf>
    <xf numFmtId="169" fontId="1" fillId="0" borderId="8" xfId="0" applyNumberFormat="1" applyFont="1" applyBorder="1" applyAlignment="1">
      <alignment wrapText="1"/>
    </xf>
    <xf numFmtId="169" fontId="14" fillId="0" borderId="8" xfId="0" applyNumberFormat="1" applyFont="1" applyBorder="1" applyAlignment="1">
      <alignment wrapText="1"/>
    </xf>
    <xf numFmtId="0" fontId="1" fillId="0" borderId="0" xfId="0" applyFont="1" applyAlignment="1">
      <alignment horizontal="left" wrapText="1" indent="3"/>
    </xf>
    <xf numFmtId="169" fontId="1" fillId="0" borderId="10" xfId="0" applyNumberFormat="1" applyFont="1" applyBorder="1" applyAlignment="1">
      <alignment wrapText="1"/>
    </xf>
    <xf numFmtId="169" fontId="14" fillId="0" borderId="10" xfId="0" applyNumberFormat="1" applyFont="1" applyBorder="1" applyAlignment="1">
      <alignment wrapText="1"/>
    </xf>
    <xf numFmtId="169" fontId="1" fillId="0" borderId="12" xfId="0" applyNumberFormat="1" applyFont="1" applyBorder="1" applyAlignment="1">
      <alignment wrapText="1"/>
    </xf>
    <xf numFmtId="169" fontId="14" fillId="0" borderId="12" xfId="0" applyNumberFormat="1" applyFont="1" applyBorder="1" applyAlignment="1">
      <alignment wrapText="1"/>
    </xf>
    <xf numFmtId="0" fontId="1" fillId="0" borderId="0" xfId="0" applyFont="1" applyAlignment="1">
      <alignment horizontal="left" wrapText="1" indent="2"/>
    </xf>
    <xf numFmtId="0" fontId="1" fillId="0" borderId="0" xfId="0" applyFont="1" applyAlignment="1">
      <alignment horizontal="right" wrapText="1"/>
    </xf>
    <xf numFmtId="171" fontId="1" fillId="0" borderId="0" xfId="0" applyNumberFormat="1" applyFont="1" applyAlignment="1">
      <alignment wrapText="1"/>
    </xf>
    <xf numFmtId="0" fontId="18" fillId="0" borderId="8" xfId="0" applyFont="1" applyBorder="1" applyAlignment="1">
      <alignment horizontal="right" wrapText="1"/>
    </xf>
    <xf numFmtId="0" fontId="16" fillId="0" borderId="8" xfId="0" applyFont="1" applyBorder="1" applyAlignment="1">
      <alignment horizontal="left" wrapText="1"/>
    </xf>
    <xf numFmtId="0" fontId="19" fillId="0" borderId="9" xfId="0" applyFont="1" applyBorder="1" applyAlignment="1">
      <alignment horizontal="right" wrapText="1"/>
    </xf>
    <xf numFmtId="171" fontId="19" fillId="0" borderId="9" xfId="0" applyNumberFormat="1" applyFont="1" applyBorder="1" applyAlignment="1">
      <alignment wrapText="1"/>
    </xf>
    <xf numFmtId="171" fontId="14" fillId="0" borderId="9" xfId="0" applyNumberFormat="1" applyFont="1" applyBorder="1" applyAlignment="1">
      <alignment wrapText="1"/>
    </xf>
    <xf numFmtId="0" fontId="20" fillId="0" borderId="0" xfId="0" applyFont="1" applyAlignment="1">
      <alignment horizontal="right" wrapText="1"/>
    </xf>
    <xf numFmtId="171" fontId="21" fillId="3" borderId="0" xfId="0" applyNumberFormat="1" applyFont="1" applyFill="1" applyAlignment="1">
      <alignment wrapText="1"/>
    </xf>
    <xf numFmtId="171" fontId="22" fillId="3" borderId="0" xfId="0" applyNumberFormat="1" applyFont="1" applyFill="1" applyAlignment="1">
      <alignment wrapText="1"/>
    </xf>
    <xf numFmtId="0" fontId="19" fillId="0" borderId="0" xfId="0" applyFont="1" applyAlignment="1">
      <alignment horizontal="right" wrapText="1"/>
    </xf>
    <xf numFmtId="171" fontId="19" fillId="0" borderId="0" xfId="0" applyNumberFormat="1" applyFont="1" applyAlignment="1">
      <alignment wrapText="1"/>
    </xf>
    <xf numFmtId="171" fontId="14" fillId="0" borderId="0" xfId="0" applyNumberFormat="1" applyFont="1" applyAlignment="1">
      <alignment wrapText="1"/>
    </xf>
    <xf numFmtId="0" fontId="6" fillId="0" borderId="8" xfId="0" applyFont="1" applyBorder="1" applyAlignment="1">
      <alignment wrapText="1"/>
    </xf>
    <xf numFmtId="172" fontId="1" fillId="0" borderId="8" xfId="0" applyNumberFormat="1" applyFont="1" applyBorder="1" applyAlignment="1">
      <alignment wrapText="1"/>
    </xf>
    <xf numFmtId="0" fontId="1" fillId="0" borderId="0" xfId="0" applyFont="1" applyAlignment="1">
      <alignment wrapText="1" indent="3"/>
    </xf>
    <xf numFmtId="173" fontId="1" fillId="0" borderId="0" xfId="0" applyNumberFormat="1" applyFont="1" applyAlignment="1">
      <alignment wrapText="1"/>
    </xf>
    <xf numFmtId="174" fontId="1" fillId="0" borderId="0" xfId="0" applyNumberFormat="1" applyFont="1" applyAlignment="1">
      <alignment wrapText="1"/>
    </xf>
    <xf numFmtId="0" fontId="1" fillId="0" borderId="9" xfId="0" applyFont="1" applyBorder="1" applyAlignment="1">
      <alignment horizontal="center" wrapText="1"/>
    </xf>
    <xf numFmtId="0" fontId="14" fillId="0" borderId="9" xfId="0" applyFont="1" applyBorder="1" applyAlignment="1">
      <alignment horizontal="center" wrapText="1"/>
    </xf>
    <xf numFmtId="0" fontId="14" fillId="0" borderId="9" xfId="0" applyFont="1" applyBorder="1" applyAlignment="1">
      <alignment wrapText="1"/>
    </xf>
    <xf numFmtId="0" fontId="1" fillId="0" borderId="13" xfId="0" applyFont="1" applyBorder="1" applyAlignment="1">
      <alignment wrapText="1"/>
    </xf>
    <xf numFmtId="0" fontId="14" fillId="0" borderId="13" xfId="0" applyFont="1" applyBorder="1" applyAlignment="1">
      <alignment wrapText="1"/>
    </xf>
    <xf numFmtId="0" fontId="19" fillId="0" borderId="9" xfId="0" applyFont="1" applyBorder="1" applyAlignment="1">
      <alignment wrapText="1"/>
    </xf>
    <xf numFmtId="0" fontId="21" fillId="3" borderId="0" xfId="0" applyFont="1" applyFill="1" applyAlignment="1">
      <alignment wrapText="1"/>
    </xf>
    <xf numFmtId="0" fontId="23" fillId="0" borderId="0" xfId="0" applyFont="1" applyAlignment="1">
      <alignment horizontal="center" wrapText="1"/>
    </xf>
    <xf numFmtId="0" fontId="22" fillId="0" borderId="0" xfId="0" applyFont="1" applyAlignment="1">
      <alignment horizontal="center" wrapText="1"/>
    </xf>
    <xf numFmtId="0" fontId="14" fillId="0" borderId="0" xfId="0" applyFont="1" applyAlignment="1">
      <alignment horizontal="center" wrapText="1"/>
    </xf>
    <xf numFmtId="0" fontId="16" fillId="0" borderId="8" xfId="0" applyFont="1" applyBorder="1" applyAlignment="1">
      <alignment horizontal="center" wrapText="1"/>
    </xf>
    <xf numFmtId="0" fontId="16" fillId="0" borderId="0" xfId="0" applyFont="1" applyAlignment="1">
      <alignment horizontal="left" wrapText="1"/>
    </xf>
    <xf numFmtId="0" fontId="16" fillId="0" borderId="9" xfId="0" applyFont="1" applyBorder="1" applyAlignment="1">
      <alignment horizontal="center" wrapText="1"/>
    </xf>
    <xf numFmtId="0" fontId="16" fillId="5" borderId="8" xfId="0" applyFont="1" applyFill="1" applyBorder="1" applyAlignment="1">
      <alignment horizontal="center" wrapText="1"/>
    </xf>
    <xf numFmtId="0" fontId="21" fillId="0" borderId="8" xfId="0" applyFont="1" applyBorder="1" applyAlignment="1">
      <alignment horizontal="center" wrapText="1"/>
    </xf>
    <xf numFmtId="0" fontId="12" fillId="0" borderId="9" xfId="0" applyFont="1" applyBorder="1" applyAlignment="1">
      <alignment horizontal="center" wrapText="1"/>
    </xf>
    <xf numFmtId="14" fontId="12" fillId="0" borderId="9" xfId="0" applyNumberFormat="1" applyFont="1" applyBorder="1" applyAlignment="1">
      <alignment horizontal="center" wrapText="1"/>
    </xf>
    <xf numFmtId="14" fontId="16" fillId="0" borderId="10" xfId="0" applyNumberFormat="1" applyFont="1" applyBorder="1" applyAlignment="1">
      <alignment horizontal="center" wrapText="1"/>
    </xf>
    <xf numFmtId="0" fontId="16" fillId="0" borderId="10" xfId="0" applyFont="1" applyBorder="1" applyAlignment="1">
      <alignment horizontal="center" wrapText="1"/>
    </xf>
    <xf numFmtId="14" fontId="16" fillId="4" borderId="8" xfId="0" applyNumberFormat="1" applyFont="1" applyFill="1" applyBorder="1" applyAlignment="1">
      <alignment horizontal="center" wrapText="1"/>
    </xf>
    <xf numFmtId="14" fontId="14" fillId="0" borderId="10" xfId="0" applyNumberFormat="1" applyFont="1" applyBorder="1" applyAlignment="1">
      <alignment horizontal="center" wrapText="1"/>
    </xf>
    <xf numFmtId="14" fontId="14" fillId="5" borderId="10" xfId="0" applyNumberFormat="1" applyFont="1" applyFill="1" applyBorder="1" applyAlignment="1">
      <alignment horizontal="center" wrapText="1"/>
    </xf>
    <xf numFmtId="0" fontId="14" fillId="0" borderId="10" xfId="0" applyFont="1" applyBorder="1" applyAlignment="1">
      <alignment horizontal="center" wrapText="1"/>
    </xf>
    <xf numFmtId="165" fontId="16" fillId="4" borderId="9" xfId="0" applyNumberFormat="1" applyFont="1" applyFill="1" applyBorder="1" applyAlignment="1">
      <alignment horizontal="center" wrapText="1"/>
    </xf>
    <xf numFmtId="175" fontId="14" fillId="0" borderId="0" xfId="0" applyNumberFormat="1" applyFont="1" applyAlignment="1">
      <alignment wrapText="1"/>
    </xf>
    <xf numFmtId="0" fontId="14" fillId="0" borderId="0" xfId="0" applyFont="1" applyAlignment="1">
      <alignment wrapText="1"/>
    </xf>
    <xf numFmtId="170" fontId="14" fillId="0" borderId="0" xfId="0" applyNumberFormat="1" applyFont="1" applyAlignment="1">
      <alignment horizontal="right" wrapText="1"/>
    </xf>
    <xf numFmtId="176" fontId="16" fillId="4" borderId="0" xfId="0" applyNumberFormat="1" applyFont="1" applyFill="1" applyAlignment="1">
      <alignment horizontal="center" wrapText="1"/>
    </xf>
    <xf numFmtId="175" fontId="14" fillId="0" borderId="8" xfId="0" applyNumberFormat="1" applyFont="1" applyBorder="1" applyAlignment="1">
      <alignment wrapText="1"/>
    </xf>
    <xf numFmtId="168" fontId="14" fillId="0" borderId="8" xfId="0" applyNumberFormat="1" applyFont="1" applyBorder="1" applyAlignment="1">
      <alignment wrapText="1"/>
    </xf>
    <xf numFmtId="0" fontId="14" fillId="0" borderId="0" xfId="0" applyFont="1" applyAlignment="1">
      <alignment horizontal="left" wrapText="1" indent="2"/>
    </xf>
    <xf numFmtId="169" fontId="14" fillId="0" borderId="9" xfId="0" applyNumberFormat="1" applyFont="1" applyBorder="1" applyAlignment="1">
      <alignment wrapText="1"/>
    </xf>
    <xf numFmtId="0" fontId="14" fillId="0" borderId="8" xfId="0" applyFont="1" applyBorder="1" applyAlignment="1">
      <alignment wrapText="1"/>
    </xf>
    <xf numFmtId="0" fontId="24" fillId="0" borderId="0" xfId="0" applyFont="1" applyAlignment="1">
      <alignment horizontal="left" wrapText="1" indent="2"/>
    </xf>
    <xf numFmtId="177" fontId="24" fillId="0" borderId="0" xfId="0" applyNumberFormat="1" applyFont="1" applyAlignment="1">
      <alignment horizontal="right" wrapText="1"/>
    </xf>
    <xf numFmtId="178" fontId="14" fillId="0" borderId="14" xfId="0" applyNumberFormat="1" applyFont="1" applyBorder="1" applyAlignment="1">
      <alignment wrapText="1"/>
    </xf>
    <xf numFmtId="170" fontId="24" fillId="0" borderId="0" xfId="0" applyNumberFormat="1" applyFont="1" applyAlignment="1">
      <alignment horizontal="right" wrapText="1"/>
    </xf>
    <xf numFmtId="0" fontId="14" fillId="0" borderId="15" xfId="0" applyFont="1" applyBorder="1" applyAlignment="1">
      <alignment wrapText="1"/>
    </xf>
    <xf numFmtId="0" fontId="14" fillId="0" borderId="16" xfId="0" applyFont="1" applyBorder="1" applyAlignment="1">
      <alignment wrapText="1"/>
    </xf>
    <xf numFmtId="179" fontId="14" fillId="0" borderId="8" xfId="0" applyNumberFormat="1" applyFont="1" applyBorder="1" applyAlignment="1">
      <alignment wrapText="1"/>
    </xf>
    <xf numFmtId="0" fontId="14" fillId="7" borderId="0" xfId="0" applyFont="1" applyFill="1" applyAlignment="1">
      <alignment horizontal="left" wrapText="1"/>
    </xf>
    <xf numFmtId="170" fontId="12" fillId="0" borderId="0" xfId="0" applyNumberFormat="1" applyFont="1" applyAlignment="1">
      <alignment horizontal="right" wrapText="1"/>
    </xf>
    <xf numFmtId="180" fontId="14" fillId="0" borderId="0" xfId="0" applyNumberFormat="1" applyFont="1" applyAlignment="1">
      <alignment wrapText="1"/>
    </xf>
    <xf numFmtId="181" fontId="14" fillId="0" borderId="0" xfId="0" applyNumberFormat="1" applyFont="1" applyAlignment="1">
      <alignment wrapText="1"/>
    </xf>
    <xf numFmtId="182" fontId="14" fillId="0" borderId="0" xfId="0" applyNumberFormat="1" applyFont="1" applyAlignment="1">
      <alignment wrapText="1"/>
    </xf>
    <xf numFmtId="183" fontId="14" fillId="0" borderId="0" xfId="0" applyNumberFormat="1" applyFont="1" applyAlignment="1">
      <alignment wrapText="1"/>
    </xf>
    <xf numFmtId="181" fontId="14" fillId="0" borderId="8" xfId="0" applyNumberFormat="1" applyFont="1" applyBorder="1" applyAlignment="1">
      <alignment wrapText="1"/>
    </xf>
    <xf numFmtId="0" fontId="14" fillId="0" borderId="0" xfId="0" applyFont="1" applyAlignment="1">
      <alignment horizontal="right" wrapText="1"/>
    </xf>
    <xf numFmtId="181" fontId="14" fillId="0" borderId="12" xfId="0" applyNumberFormat="1" applyFont="1" applyBorder="1" applyAlignment="1">
      <alignment wrapText="1"/>
    </xf>
    <xf numFmtId="184" fontId="14" fillId="0" borderId="0" xfId="0" applyNumberFormat="1" applyFont="1" applyAlignment="1">
      <alignment horizontal="right" wrapText="1"/>
    </xf>
    <xf numFmtId="171" fontId="14" fillId="8" borderId="0" xfId="0" applyNumberFormat="1" applyFont="1" applyFill="1" applyAlignment="1">
      <alignment wrapText="1"/>
    </xf>
    <xf numFmtId="185" fontId="14" fillId="0" borderId="0" xfId="0" applyNumberFormat="1" applyFont="1" applyAlignment="1">
      <alignment wrapText="1"/>
    </xf>
    <xf numFmtId="186" fontId="14" fillId="0" borderId="0" xfId="0" applyNumberFormat="1" applyFont="1" applyAlignment="1">
      <alignment wrapText="1"/>
    </xf>
    <xf numFmtId="0" fontId="22" fillId="0" borderId="0" xfId="0" applyFont="1" applyAlignment="1">
      <alignment horizontal="left" wrapText="1"/>
    </xf>
    <xf numFmtId="0" fontId="14" fillId="0" borderId="9" xfId="0" applyFont="1" applyBorder="1" applyAlignment="1">
      <alignment horizontal="right" wrapText="1" indent="1"/>
    </xf>
    <xf numFmtId="0" fontId="14" fillId="0" borderId="0" xfId="0" applyFont="1" applyAlignment="1">
      <alignment horizontal="right" wrapText="1" indent="1"/>
    </xf>
    <xf numFmtId="184" fontId="14" fillId="0" borderId="8" xfId="0" applyNumberFormat="1" applyFont="1" applyBorder="1" applyAlignment="1">
      <alignment horizontal="right" wrapText="1"/>
    </xf>
    <xf numFmtId="171" fontId="14" fillId="0" borderId="8" xfId="0" applyNumberFormat="1" applyFont="1" applyBorder="1" applyAlignment="1">
      <alignment wrapText="1"/>
    </xf>
    <xf numFmtId="184" fontId="14" fillId="0" borderId="10" xfId="0" applyNumberFormat="1" applyFont="1" applyBorder="1" applyAlignment="1">
      <alignment horizontal="right" wrapText="1"/>
    </xf>
    <xf numFmtId="171" fontId="14" fillId="0" borderId="10" xfId="0" applyNumberFormat="1" applyFont="1" applyBorder="1" applyAlignment="1">
      <alignment wrapText="1"/>
    </xf>
    <xf numFmtId="171" fontId="22" fillId="0" borderId="9" xfId="0" applyNumberFormat="1" applyFont="1" applyBorder="1" applyAlignment="1">
      <alignment wrapText="1"/>
    </xf>
    <xf numFmtId="0" fontId="17" fillId="0" borderId="8" xfId="0" applyFont="1" applyBorder="1" applyAlignment="1">
      <alignment horizontal="center" wrapText="1"/>
    </xf>
    <xf numFmtId="0" fontId="18" fillId="0" borderId="8" xfId="0" applyFont="1" applyBorder="1" applyAlignment="1">
      <alignment horizontal="center" wrapText="1"/>
    </xf>
    <xf numFmtId="0" fontId="14" fillId="0" borderId="9" xfId="0" applyFont="1" applyBorder="1" applyAlignment="1">
      <alignment horizontal="right" wrapText="1"/>
    </xf>
    <xf numFmtId="0" fontId="16" fillId="0" borderId="0" xfId="0" applyFont="1" applyAlignment="1">
      <alignment horizontal="right" wrapText="1"/>
    </xf>
    <xf numFmtId="171" fontId="21" fillId="0" borderId="0" xfId="0" applyNumberFormat="1" applyFont="1" applyAlignment="1">
      <alignment wrapText="1"/>
    </xf>
    <xf numFmtId="0" fontId="22" fillId="9" borderId="0" xfId="0" applyFont="1" applyFill="1" applyAlignment="1">
      <alignment horizontal="center" wrapText="1"/>
    </xf>
    <xf numFmtId="0" fontId="14" fillId="9" borderId="0" xfId="0" applyFont="1" applyFill="1" applyAlignment="1">
      <alignment wrapText="1"/>
    </xf>
    <xf numFmtId="0" fontId="14" fillId="6" borderId="0" xfId="0" applyFont="1" applyFill="1" applyAlignment="1">
      <alignment horizontal="center" wrapText="1"/>
    </xf>
    <xf numFmtId="0" fontId="14" fillId="9" borderId="0" xfId="0" applyFont="1" applyFill="1" applyAlignment="1">
      <alignment horizontal="center" wrapText="1"/>
    </xf>
    <xf numFmtId="14" fontId="16" fillId="0" borderId="9" xfId="0" applyNumberFormat="1" applyFont="1" applyBorder="1" applyAlignment="1">
      <alignment horizontal="center" wrapText="1"/>
    </xf>
    <xf numFmtId="14" fontId="14" fillId="9" borderId="0" xfId="0" applyNumberFormat="1" applyFont="1" applyFill="1" applyAlignment="1">
      <alignment horizontal="center" wrapText="1"/>
    </xf>
    <xf numFmtId="0" fontId="14" fillId="9" borderId="0" xfId="0" applyFont="1" applyFill="1" applyAlignment="1">
      <alignment horizontal="right" wrapText="1"/>
    </xf>
    <xf numFmtId="0" fontId="25" fillId="0" borderId="4" xfId="0" applyFont="1" applyBorder="1" applyAlignment="1">
      <alignment wrapText="1"/>
    </xf>
    <xf numFmtId="0" fontId="24" fillId="9" borderId="0" xfId="0" applyFont="1" applyFill="1" applyAlignment="1">
      <alignment horizontal="right" wrapText="1"/>
    </xf>
    <xf numFmtId="0" fontId="25" fillId="9" borderId="0" xfId="0" applyFont="1" applyFill="1" applyAlignment="1">
      <alignment wrapText="1"/>
    </xf>
    <xf numFmtId="0" fontId="14" fillId="0" borderId="12" xfId="0" applyFont="1" applyBorder="1" applyAlignment="1">
      <alignment horizontal="right" wrapText="1"/>
    </xf>
    <xf numFmtId="0" fontId="14" fillId="0" borderId="13" xfId="0" applyFont="1" applyBorder="1" applyAlignment="1">
      <alignment horizontal="right" wrapText="1"/>
    </xf>
    <xf numFmtId="0" fontId="25" fillId="0" borderId="9" xfId="0" applyFont="1" applyBorder="1" applyAlignment="1">
      <alignment horizontal="left" wrapText="1"/>
    </xf>
    <xf numFmtId="0" fontId="14" fillId="0" borderId="10" xfId="0" applyFont="1" applyBorder="1" applyAlignment="1">
      <alignment horizontal="right" wrapText="1"/>
    </xf>
    <xf numFmtId="0" fontId="14" fillId="0" borderId="10" xfId="0" applyFont="1" applyBorder="1" applyAlignment="1">
      <alignment wrapText="1"/>
    </xf>
    <xf numFmtId="0" fontId="22" fillId="0" borderId="9" xfId="0" applyFont="1" applyBorder="1" applyAlignment="1">
      <alignment horizontal="right" wrapText="1"/>
    </xf>
    <xf numFmtId="0" fontId="6" fillId="0" borderId="0" xfId="0" applyFont="1" applyAlignment="1">
      <alignment wrapText="1"/>
    </xf>
    <xf numFmtId="187" fontId="6" fillId="0" borderId="0" xfId="0" applyNumberFormat="1" applyFont="1" applyAlignment="1">
      <alignment wrapText="1"/>
    </xf>
    <xf numFmtId="187" fontId="1" fillId="0" borderId="0" xfId="0" applyNumberFormat="1" applyFont="1" applyAlignment="1">
      <alignment wrapText="1"/>
    </xf>
    <xf numFmtId="0" fontId="6" fillId="10" borderId="8" xfId="0" applyFont="1" applyFill="1" applyBorder="1" applyAlignment="1">
      <alignment horizontal="center" wrapText="1"/>
    </xf>
    <xf numFmtId="0" fontId="6" fillId="0" borderId="8" xfId="0" applyFont="1" applyBorder="1" applyAlignment="1">
      <alignment horizontal="center" wrapText="1"/>
    </xf>
    <xf numFmtId="188" fontId="1" fillId="10" borderId="0" xfId="0" applyNumberFormat="1" applyFont="1" applyFill="1" applyAlignment="1">
      <alignment wrapText="1"/>
    </xf>
    <xf numFmtId="188" fontId="1" fillId="0" borderId="0" xfId="0" applyNumberFormat="1" applyFont="1" applyAlignment="1">
      <alignment wrapText="1"/>
    </xf>
    <xf numFmtId="0" fontId="1" fillId="10" borderId="9" xfId="0" applyFont="1" applyFill="1" applyBorder="1" applyAlignment="1">
      <alignment wrapText="1"/>
    </xf>
    <xf numFmtId="14" fontId="16" fillId="0" borderId="8" xfId="0" applyNumberFormat="1" applyFont="1" applyBorder="1" applyAlignment="1">
      <alignment wrapText="1"/>
    </xf>
    <xf numFmtId="165" fontId="16" fillId="0" borderId="0" xfId="0" applyNumberFormat="1" applyFont="1" applyAlignment="1">
      <alignment horizontal="center" wrapText="1"/>
    </xf>
    <xf numFmtId="14" fontId="14" fillId="0" borderId="9" xfId="0" applyNumberFormat="1" applyFont="1" applyBorder="1" applyAlignment="1">
      <alignment horizontal="center" wrapText="1"/>
    </xf>
    <xf numFmtId="14" fontId="14" fillId="5" borderId="9" xfId="0" applyNumberFormat="1" applyFont="1" applyFill="1" applyBorder="1" applyAlignment="1">
      <alignment horizontal="center" wrapText="1"/>
    </xf>
    <xf numFmtId="171" fontId="16" fillId="0" borderId="9" xfId="0" applyNumberFormat="1" applyFont="1" applyBorder="1" applyAlignment="1">
      <alignment wrapText="1"/>
    </xf>
    <xf numFmtId="0" fontId="16" fillId="0" borderId="9" xfId="0" applyFont="1" applyBorder="1" applyAlignment="1">
      <alignment horizontal="left" wrapText="1"/>
    </xf>
    <xf numFmtId="165" fontId="16" fillId="0" borderId="0" xfId="0" applyNumberFormat="1" applyFont="1" applyAlignment="1">
      <alignment horizontal="left" wrapText="1"/>
    </xf>
    <xf numFmtId="186" fontId="14" fillId="0" borderId="0" xfId="0" applyNumberFormat="1" applyFont="1" applyAlignment="1">
      <alignment horizontal="right" wrapText="1"/>
    </xf>
    <xf numFmtId="171" fontId="16" fillId="0" borderId="0" xfId="0" applyNumberFormat="1" applyFont="1" applyAlignment="1">
      <alignment wrapText="1"/>
    </xf>
    <xf numFmtId="0" fontId="14" fillId="0" borderId="0" xfId="0" applyFont="1" applyAlignment="1">
      <alignment wrapText="1" indent="1"/>
    </xf>
    <xf numFmtId="171" fontId="14" fillId="5" borderId="0" xfId="0" applyNumberFormat="1" applyFont="1" applyFill="1" applyAlignment="1">
      <alignment wrapText="1"/>
    </xf>
    <xf numFmtId="0" fontId="14" fillId="0" borderId="0" xfId="0" applyFont="1" applyAlignment="1">
      <alignment horizontal="left" wrapText="1" indent="1"/>
    </xf>
    <xf numFmtId="169" fontId="14" fillId="5" borderId="8" xfId="0" applyNumberFormat="1" applyFont="1" applyFill="1" applyBorder="1" applyAlignment="1">
      <alignment wrapText="1"/>
    </xf>
    <xf numFmtId="171" fontId="16" fillId="0" borderId="8" xfId="0" applyNumberFormat="1" applyFont="1" applyBorder="1" applyAlignment="1">
      <alignment wrapText="1"/>
    </xf>
    <xf numFmtId="178" fontId="16" fillId="0" borderId="14" xfId="0" applyNumberFormat="1" applyFont="1" applyBorder="1" applyAlignment="1">
      <alignment wrapText="1"/>
    </xf>
    <xf numFmtId="0" fontId="16" fillId="0" borderId="15" xfId="0" applyFont="1" applyBorder="1" applyAlignment="1">
      <alignment horizontal="right" wrapText="1"/>
    </xf>
    <xf numFmtId="0" fontId="16" fillId="0" borderId="16" xfId="0" applyFont="1" applyBorder="1" applyAlignment="1">
      <alignment horizontal="right" wrapText="1"/>
    </xf>
    <xf numFmtId="0" fontId="12" fillId="9" borderId="0" xfId="0" applyFont="1" applyFill="1" applyAlignment="1">
      <alignment wrapText="1"/>
    </xf>
    <xf numFmtId="0" fontId="16" fillId="0" borderId="9" xfId="0" applyFont="1" applyBorder="1" applyAlignment="1">
      <alignment wrapText="1"/>
    </xf>
    <xf numFmtId="0" fontId="16" fillId="0" borderId="9" xfId="0" applyFont="1" applyBorder="1" applyAlignment="1">
      <alignment horizontal="right" wrapText="1"/>
    </xf>
    <xf numFmtId="0" fontId="16" fillId="0" borderId="4" xfId="0" applyFont="1" applyBorder="1" applyAlignment="1">
      <alignment horizontal="left" wrapText="1"/>
    </xf>
    <xf numFmtId="0" fontId="14" fillId="7" borderId="0" xfId="0" applyFont="1" applyFill="1" applyAlignment="1">
      <alignment horizontal="center" wrapText="1"/>
    </xf>
    <xf numFmtId="0" fontId="16" fillId="5" borderId="8" xfId="0" applyFont="1" applyFill="1" applyBorder="1" applyAlignment="1">
      <alignment wrapText="1"/>
    </xf>
    <xf numFmtId="14" fontId="14" fillId="2" borderId="10" xfId="0" applyNumberFormat="1" applyFont="1" applyFill="1" applyBorder="1" applyAlignment="1">
      <alignment horizontal="center" wrapText="1"/>
    </xf>
    <xf numFmtId="14" fontId="16" fillId="0" borderId="10" xfId="0" applyNumberFormat="1" applyFont="1" applyBorder="1" applyAlignment="1">
      <alignment wrapText="1"/>
    </xf>
    <xf numFmtId="14" fontId="16" fillId="5" borderId="10" xfId="0" applyNumberFormat="1" applyFont="1" applyFill="1" applyBorder="1" applyAlignment="1">
      <alignment wrapText="1"/>
    </xf>
    <xf numFmtId="0" fontId="22" fillId="0" borderId="0" xfId="0" applyFont="1" applyAlignment="1">
      <alignment wrapText="1"/>
    </xf>
    <xf numFmtId="0" fontId="14" fillId="0" borderId="0" xfId="0" applyFont="1" applyAlignment="1">
      <alignment wrapText="1" indent="2"/>
    </xf>
    <xf numFmtId="0" fontId="14" fillId="0" borderId="0" xfId="0" applyFont="1" applyAlignment="1">
      <alignment horizontal="left" wrapText="1" indent="5"/>
    </xf>
    <xf numFmtId="182" fontId="14" fillId="0" borderId="17" xfId="0" applyNumberFormat="1" applyFont="1" applyBorder="1" applyAlignment="1">
      <alignment wrapText="1"/>
    </xf>
    <xf numFmtId="0" fontId="14" fillId="0" borderId="17" xfId="0" applyFont="1" applyBorder="1" applyAlignment="1">
      <alignment horizontal="right" wrapText="1"/>
    </xf>
    <xf numFmtId="182" fontId="14" fillId="0" borderId="18" xfId="0" applyNumberFormat="1" applyFont="1" applyBorder="1" applyAlignment="1">
      <alignment wrapText="1"/>
    </xf>
    <xf numFmtId="0" fontId="14" fillId="0" borderId="18" xfId="0" applyFont="1" applyBorder="1" applyAlignment="1">
      <alignment horizontal="right" wrapText="1"/>
    </xf>
    <xf numFmtId="179" fontId="14" fillId="0" borderId="0" xfId="0" applyNumberFormat="1" applyFont="1" applyAlignment="1">
      <alignment wrapText="1"/>
    </xf>
    <xf numFmtId="169" fontId="14" fillId="9" borderId="12" xfId="0" applyNumberFormat="1" applyFont="1" applyFill="1" applyBorder="1" applyAlignment="1">
      <alignment wrapText="1"/>
    </xf>
    <xf numFmtId="169" fontId="14" fillId="7" borderId="8" xfId="0" applyNumberFormat="1" applyFont="1" applyFill="1" applyBorder="1" applyAlignment="1">
      <alignment wrapText="1"/>
    </xf>
    <xf numFmtId="169" fontId="14" fillId="5" borderId="0" xfId="0" applyNumberFormat="1" applyFont="1" applyFill="1" applyAlignment="1">
      <alignment wrapText="1"/>
    </xf>
    <xf numFmtId="0" fontId="12" fillId="0" borderId="8" xfId="0" applyFont="1" applyBorder="1" applyAlignment="1">
      <alignment wrapText="1"/>
    </xf>
    <xf numFmtId="0" fontId="14" fillId="0" borderId="9" xfId="0" applyFont="1" applyBorder="1" applyAlignment="1">
      <alignment wrapText="1" indent="1"/>
    </xf>
    <xf numFmtId="0" fontId="14" fillId="0" borderId="0" xfId="0" applyFont="1" applyAlignment="1">
      <alignment wrapText="1" indent="3"/>
    </xf>
    <xf numFmtId="0" fontId="12" fillId="0" borderId="0" xfId="0" applyFont="1" applyAlignment="1">
      <alignment wrapText="1" indent="1"/>
    </xf>
    <xf numFmtId="186" fontId="14" fillId="0" borderId="9" xfId="0" applyNumberFormat="1" applyFont="1" applyBorder="1" applyAlignment="1">
      <alignment wrapText="1"/>
    </xf>
    <xf numFmtId="165" fontId="16" fillId="0" borderId="5" xfId="0" applyNumberFormat="1" applyFont="1" applyBorder="1" applyAlignment="1">
      <alignment horizontal="center" wrapText="1"/>
    </xf>
    <xf numFmtId="0" fontId="17" fillId="0" borderId="8" xfId="0" applyFont="1" applyBorder="1" applyAlignment="1">
      <alignment horizontal="right" wrapText="1"/>
    </xf>
    <xf numFmtId="0" fontId="17" fillId="0" borderId="8" xfId="0" applyFont="1" applyBorder="1" applyAlignment="1">
      <alignment wrapText="1"/>
    </xf>
    <xf numFmtId="171" fontId="12" fillId="0" borderId="0" xfId="0" applyNumberFormat="1" applyFont="1" applyAlignment="1">
      <alignment wrapText="1"/>
    </xf>
    <xf numFmtId="171" fontId="23" fillId="0" borderId="0" xfId="0" applyNumberFormat="1" applyFont="1" applyAlignment="1">
      <alignment wrapText="1"/>
    </xf>
    <xf numFmtId="171" fontId="22" fillId="0" borderId="0" xfId="0" applyNumberFormat="1" applyFont="1" applyAlignment="1">
      <alignment wrapText="1"/>
    </xf>
    <xf numFmtId="189" fontId="12" fillId="0" borderId="0" xfId="0" applyNumberFormat="1" applyFont="1" applyAlignment="1">
      <alignment wrapText="1"/>
    </xf>
    <xf numFmtId="189" fontId="23" fillId="0" borderId="0" xfId="0" applyNumberFormat="1" applyFont="1" applyAlignment="1">
      <alignment wrapText="1"/>
    </xf>
    <xf numFmtId="0" fontId="1" fillId="9" borderId="0" xfId="0" applyFont="1" applyFill="1" applyAlignment="1">
      <alignment wrapText="1"/>
    </xf>
    <xf numFmtId="0" fontId="14" fillId="0" borderId="12" xfId="0" applyFont="1" applyBorder="1" applyAlignment="1">
      <alignment wrapText="1"/>
    </xf>
    <xf numFmtId="0" fontId="14" fillId="9" borderId="8" xfId="0" applyFont="1" applyFill="1" applyBorder="1" applyAlignment="1">
      <alignment wrapText="1"/>
    </xf>
    <xf numFmtId="0" fontId="14" fillId="9" borderId="13" xfId="0" applyFont="1" applyFill="1" applyBorder="1" applyAlignment="1">
      <alignment wrapText="1"/>
    </xf>
    <xf numFmtId="0" fontId="17" fillId="0" borderId="4" xfId="0" applyFont="1" applyBorder="1" applyAlignment="1">
      <alignment wrapText="1"/>
    </xf>
    <xf numFmtId="0" fontId="17" fillId="9" borderId="0" xfId="0" applyFont="1" applyFill="1" applyAlignment="1">
      <alignment wrapText="1"/>
    </xf>
    <xf numFmtId="0" fontId="22" fillId="9" borderId="0" xfId="0" applyFont="1" applyFill="1" applyAlignment="1">
      <alignment wrapText="1"/>
    </xf>
    <xf numFmtId="0" fontId="22" fillId="7" borderId="0" xfId="0" applyFont="1" applyFill="1" applyAlignment="1">
      <alignment wrapText="1"/>
    </xf>
    <xf numFmtId="0" fontId="26" fillId="0" borderId="0" xfId="0" applyFont="1" applyAlignment="1">
      <alignment wrapText="1"/>
    </xf>
    <xf numFmtId="0" fontId="14" fillId="0" borderId="19" xfId="0" applyFont="1" applyBorder="1" applyAlignment="1">
      <alignment horizontal="center" wrapText="1"/>
    </xf>
    <xf numFmtId="14" fontId="14" fillId="0" borderId="0" xfId="0" applyNumberFormat="1" applyFont="1" applyAlignment="1">
      <alignment horizontal="center" wrapText="1"/>
    </xf>
    <xf numFmtId="14" fontId="16" fillId="5" borderId="10" xfId="0" applyNumberFormat="1" applyFont="1" applyFill="1" applyBorder="1" applyAlignment="1">
      <alignment horizontal="center" wrapText="1"/>
    </xf>
    <xf numFmtId="0" fontId="14" fillId="7" borderId="0" xfId="0" applyFont="1" applyFill="1" applyAlignment="1">
      <alignment horizontal="left" wrapText="1" indent="1"/>
    </xf>
    <xf numFmtId="190" fontId="16" fillId="0" borderId="0" xfId="0" applyNumberFormat="1" applyFont="1" applyAlignment="1">
      <alignment wrapText="1"/>
    </xf>
    <xf numFmtId="0" fontId="14" fillId="0" borderId="0" xfId="0" applyFont="1" applyAlignment="1">
      <alignment horizontal="left" wrapText="1" indent="3"/>
    </xf>
    <xf numFmtId="171" fontId="1" fillId="0" borderId="8" xfId="0" applyNumberFormat="1" applyFont="1" applyBorder="1" applyAlignment="1">
      <alignment wrapText="1"/>
    </xf>
    <xf numFmtId="0" fontId="14" fillId="7" borderId="0" xfId="0" applyFont="1" applyFill="1" applyAlignment="1">
      <alignment horizontal="left" wrapText="1" indent="4"/>
    </xf>
    <xf numFmtId="171" fontId="1" fillId="0" borderId="10" xfId="0" applyNumberFormat="1" applyFont="1" applyBorder="1" applyAlignment="1">
      <alignment wrapText="1"/>
    </xf>
    <xf numFmtId="171" fontId="1" fillId="0" borderId="9" xfId="0" applyNumberFormat="1" applyFont="1" applyBorder="1" applyAlignment="1">
      <alignment wrapText="1"/>
    </xf>
    <xf numFmtId="0" fontId="14" fillId="0" borderId="0" xfId="0" applyFont="1" applyAlignment="1">
      <alignment horizontal="left" wrapText="1" indent="4"/>
    </xf>
    <xf numFmtId="171" fontId="1" fillId="0" borderId="12" xfId="0" applyNumberFormat="1" applyFont="1" applyBorder="1" applyAlignment="1">
      <alignment wrapText="1"/>
    </xf>
    <xf numFmtId="171" fontId="14" fillId="0" borderId="12" xfId="0" applyNumberFormat="1" applyFont="1" applyBorder="1" applyAlignment="1">
      <alignment wrapText="1"/>
    </xf>
    <xf numFmtId="0" fontId="14" fillId="0" borderId="8" xfId="0" applyFont="1" applyBorder="1" applyAlignment="1">
      <alignment horizontal="right" wrapText="1"/>
    </xf>
    <xf numFmtId="0" fontId="16" fillId="0" borderId="10" xfId="0" applyFont="1" applyBorder="1" applyAlignment="1">
      <alignment wrapText="1"/>
    </xf>
    <xf numFmtId="171" fontId="16" fillId="0" borderId="10" xfId="0" applyNumberFormat="1" applyFont="1" applyBorder="1" applyAlignment="1">
      <alignment wrapText="1"/>
    </xf>
    <xf numFmtId="0" fontId="16" fillId="0" borderId="8" xfId="0" applyFont="1" applyBorder="1" applyAlignment="1">
      <alignment horizontal="right" wrapText="1"/>
    </xf>
    <xf numFmtId="169" fontId="20" fillId="0" borderId="0" xfId="0" applyNumberFormat="1" applyFont="1" applyAlignment="1">
      <alignment wrapText="1"/>
    </xf>
    <xf numFmtId="169" fontId="20" fillId="3" borderId="0" xfId="0" applyNumberFormat="1" applyFont="1" applyFill="1" applyAlignment="1">
      <alignment wrapText="1"/>
    </xf>
    <xf numFmtId="0" fontId="14" fillId="12" borderId="0" xfId="0" applyFont="1" applyFill="1" applyAlignment="1">
      <alignment horizontal="left" wrapText="1"/>
    </xf>
    <xf numFmtId="0" fontId="14" fillId="12" borderId="0" xfId="0" applyFont="1" applyFill="1" applyAlignment="1">
      <alignment horizontal="left" wrapText="1" indent="4"/>
    </xf>
    <xf numFmtId="0" fontId="14" fillId="13" borderId="0" xfId="0" applyFont="1" applyFill="1" applyAlignment="1">
      <alignment horizontal="left" wrapText="1"/>
    </xf>
    <xf numFmtId="0" fontId="27" fillId="9" borderId="0" xfId="0" applyFont="1" applyFill="1" applyAlignment="1">
      <alignment wrapText="1"/>
    </xf>
    <xf numFmtId="0" fontId="27" fillId="0" borderId="9" xfId="0" applyFont="1" applyBorder="1" applyAlignment="1">
      <alignment wrapText="1"/>
    </xf>
    <xf numFmtId="0" fontId="1" fillId="9" borderId="0" xfId="0" applyFont="1" applyFill="1" applyAlignment="1">
      <alignment horizontal="center" wrapText="1"/>
    </xf>
    <xf numFmtId="0" fontId="14" fillId="0" borderId="15" xfId="0" applyFont="1" applyBorder="1" applyAlignment="1">
      <alignment horizontal="center" wrapText="1"/>
    </xf>
    <xf numFmtId="14" fontId="16" fillId="9" borderId="0" xfId="0" applyNumberFormat="1" applyFont="1" applyFill="1" applyAlignment="1">
      <alignment horizontal="center" wrapText="1"/>
    </xf>
    <xf numFmtId="0" fontId="1" fillId="9" borderId="0" xfId="0" applyFont="1" applyFill="1" applyAlignment="1">
      <alignment horizontal="right" wrapText="1"/>
    </xf>
    <xf numFmtId="0" fontId="29" fillId="2" borderId="0" xfId="0" applyFont="1" applyFill="1" applyAlignment="1">
      <alignment horizontal="left" wrapText="1"/>
    </xf>
    <xf numFmtId="165" fontId="1" fillId="0" borderId="8" xfId="0" applyNumberFormat="1" applyFont="1" applyBorder="1" applyAlignment="1">
      <alignment horizontal="center" wrapText="1"/>
    </xf>
    <xf numFmtId="169" fontId="1" fillId="0" borderId="9" xfId="0" applyNumberFormat="1" applyFont="1" applyBorder="1" applyAlignment="1">
      <alignment wrapText="1"/>
    </xf>
    <xf numFmtId="0" fontId="30" fillId="0" borderId="0" xfId="0" applyFont="1" applyAlignment="1">
      <alignment horizontal="left" wrapText="1" indent="2"/>
    </xf>
    <xf numFmtId="170" fontId="30" fillId="0" borderId="0" xfId="0" applyNumberFormat="1" applyFont="1" applyAlignment="1">
      <alignment horizontal="right" wrapText="1"/>
    </xf>
    <xf numFmtId="0" fontId="1" fillId="7" borderId="0" xfId="0" applyFont="1" applyFill="1" applyAlignment="1">
      <alignment horizontal="left" wrapText="1" indent="2"/>
    </xf>
    <xf numFmtId="0" fontId="1" fillId="7" borderId="0" xfId="0" applyFont="1" applyFill="1" applyAlignment="1">
      <alignment wrapText="1" indent="3"/>
    </xf>
    <xf numFmtId="0" fontId="1" fillId="7" borderId="0" xfId="0" applyFont="1" applyFill="1" applyAlignment="1">
      <alignment horizontal="left" wrapText="1"/>
    </xf>
    <xf numFmtId="182" fontId="1" fillId="0" borderId="8" xfId="0" applyNumberFormat="1" applyFont="1" applyBorder="1" applyAlignment="1">
      <alignment wrapText="1"/>
    </xf>
    <xf numFmtId="0" fontId="1" fillId="0" borderId="8" xfId="0" applyFont="1" applyBorder="1" applyAlignment="1">
      <alignment horizontal="right" wrapText="1"/>
    </xf>
    <xf numFmtId="0" fontId="1" fillId="0" borderId="12" xfId="0" applyFont="1" applyBorder="1" applyAlignment="1">
      <alignment horizontal="right" wrapText="1"/>
    </xf>
    <xf numFmtId="182" fontId="1" fillId="0" borderId="12" xfId="0" applyNumberFormat="1" applyFont="1" applyBorder="1" applyAlignment="1">
      <alignment wrapText="1"/>
    </xf>
    <xf numFmtId="189" fontId="1" fillId="0" borderId="0" xfId="0" applyNumberFormat="1" applyFont="1" applyAlignment="1">
      <alignment wrapText="1"/>
    </xf>
    <xf numFmtId="0" fontId="1" fillId="0" borderId="10" xfId="0" applyFont="1" applyBorder="1" applyAlignment="1">
      <alignment horizontal="right" wrapText="1"/>
    </xf>
    <xf numFmtId="0" fontId="31" fillId="0" borderId="0" xfId="0" applyFont="1" applyAlignment="1">
      <alignment horizontal="right" wrapText="1"/>
    </xf>
    <xf numFmtId="0" fontId="31" fillId="0" borderId="0" xfId="0" applyFont="1" applyAlignment="1">
      <alignment wrapText="1"/>
    </xf>
    <xf numFmtId="0" fontId="1" fillId="0" borderId="8" xfId="0" applyFont="1" applyBorder="1" applyAlignment="1">
      <alignment wrapText="1"/>
    </xf>
    <xf numFmtId="0" fontId="31" fillId="0" borderId="4" xfId="0" applyFont="1" applyBorder="1" applyAlignment="1">
      <alignment horizontal="center" wrapText="1"/>
    </xf>
    <xf numFmtId="175" fontId="1" fillId="10" borderId="9" xfId="0" applyNumberFormat="1" applyFont="1" applyFill="1" applyBorder="1" applyAlignment="1">
      <alignment wrapText="1"/>
    </xf>
    <xf numFmtId="175" fontId="1" fillId="0" borderId="9" xfId="0" applyNumberFormat="1" applyFont="1" applyBorder="1" applyAlignment="1">
      <alignment wrapText="1"/>
    </xf>
    <xf numFmtId="171" fontId="1" fillId="10" borderId="8" xfId="0" applyNumberFormat="1" applyFont="1" applyFill="1" applyBorder="1" applyAlignment="1">
      <alignment wrapText="1"/>
    </xf>
    <xf numFmtId="0" fontId="1" fillId="0" borderId="9" xfId="0" applyFont="1" applyBorder="1" applyAlignment="1">
      <alignment wrapText="1" indent="2"/>
    </xf>
    <xf numFmtId="171" fontId="1" fillId="10" borderId="9" xfId="0" applyNumberFormat="1" applyFont="1" applyFill="1" applyBorder="1" applyAlignment="1">
      <alignment wrapText="1"/>
    </xf>
    <xf numFmtId="0" fontId="6" fillId="0" borderId="0" xfId="0" applyFont="1" applyAlignment="1">
      <alignment horizontal="left" wrapText="1" indent="2"/>
    </xf>
    <xf numFmtId="186" fontId="6" fillId="10" borderId="0" xfId="0" applyNumberFormat="1" applyFont="1" applyFill="1" applyAlignment="1">
      <alignment wrapText="1"/>
    </xf>
    <xf numFmtId="186" fontId="6" fillId="0" borderId="0" xfId="0" applyNumberFormat="1" applyFont="1" applyAlignment="1">
      <alignment wrapText="1"/>
    </xf>
    <xf numFmtId="0" fontId="1" fillId="0" borderId="0" xfId="0" applyFont="1" applyAlignment="1">
      <alignment wrapText="1" indent="2"/>
    </xf>
    <xf numFmtId="171" fontId="1" fillId="10" borderId="0" xfId="0" applyNumberFormat="1" applyFont="1" applyFill="1" applyAlignment="1">
      <alignment wrapText="1"/>
    </xf>
    <xf numFmtId="0" fontId="1" fillId="0" borderId="8" xfId="0" applyFont="1" applyBorder="1" applyAlignment="1">
      <alignment wrapText="1" indent="2"/>
    </xf>
    <xf numFmtId="0" fontId="1" fillId="0" borderId="17" xfId="0" applyFont="1" applyBorder="1" applyAlignment="1">
      <alignment wrapText="1"/>
    </xf>
    <xf numFmtId="175" fontId="1" fillId="10" borderId="17" xfId="0" applyNumberFormat="1" applyFont="1" applyFill="1" applyBorder="1" applyAlignment="1">
      <alignment wrapText="1"/>
    </xf>
    <xf numFmtId="175" fontId="1" fillId="0" borderId="17" xfId="0" applyNumberFormat="1" applyFont="1" applyBorder="1" applyAlignment="1">
      <alignment wrapText="1"/>
    </xf>
    <xf numFmtId="173" fontId="1" fillId="10" borderId="0" xfId="0" applyNumberFormat="1" applyFont="1" applyFill="1" applyAlignment="1">
      <alignment wrapText="1"/>
    </xf>
    <xf numFmtId="173" fontId="1" fillId="14" borderId="0" xfId="0" applyNumberFormat="1" applyFont="1" applyFill="1" applyAlignment="1">
      <alignment wrapText="1"/>
    </xf>
    <xf numFmtId="0" fontId="32" fillId="0" borderId="0" xfId="0" applyFont="1" applyAlignment="1">
      <alignment horizontal="left" wrapText="1"/>
    </xf>
    <xf numFmtId="0" fontId="31" fillId="0" borderId="0" xfId="0" applyFont="1" applyAlignment="1">
      <alignment horizontal="left" vertical="center" wrapText="1"/>
    </xf>
    <xf numFmtId="0" fontId="6" fillId="10" borderId="0" xfId="0" applyFont="1" applyFill="1" applyAlignment="1">
      <alignment horizontal="center" wrapText="1"/>
    </xf>
    <xf numFmtId="0" fontId="6" fillId="0" borderId="0" xfId="0" applyFont="1" applyAlignment="1">
      <alignment horizontal="center" wrapText="1"/>
    </xf>
    <xf numFmtId="175" fontId="1" fillId="10" borderId="0" xfId="0" applyNumberFormat="1" applyFont="1" applyFill="1" applyAlignment="1">
      <alignment wrapText="1"/>
    </xf>
    <xf numFmtId="175" fontId="1" fillId="0" borderId="0" xfId="0" applyNumberFormat="1" applyFont="1" applyAlignment="1">
      <alignment wrapText="1"/>
    </xf>
    <xf numFmtId="171" fontId="1" fillId="10" borderId="17" xfId="0" applyNumberFormat="1" applyFont="1" applyFill="1" applyBorder="1" applyAlignment="1">
      <alignment wrapText="1"/>
    </xf>
    <xf numFmtId="171" fontId="1" fillId="0" borderId="17" xfId="0" applyNumberFormat="1" applyFont="1" applyBorder="1" applyAlignment="1">
      <alignment wrapText="1"/>
    </xf>
    <xf numFmtId="0" fontId="1" fillId="10" borderId="0" xfId="0" applyFont="1" applyFill="1" applyAlignment="1">
      <alignment wrapText="1"/>
    </xf>
    <xf numFmtId="0" fontId="1" fillId="10" borderId="13" xfId="0" applyFont="1" applyFill="1" applyBorder="1" applyAlignment="1">
      <alignment wrapText="1"/>
    </xf>
    <xf numFmtId="0" fontId="33" fillId="10" borderId="0" xfId="0" applyFont="1" applyFill="1" applyAlignment="1">
      <alignment wrapText="1"/>
    </xf>
    <xf numFmtId="0" fontId="34" fillId="0" borderId="13" xfId="0" applyFont="1" applyBorder="1" applyAlignment="1">
      <alignment wrapText="1" indent="8"/>
    </xf>
    <xf numFmtId="0" fontId="34" fillId="10" borderId="13" xfId="0" applyFont="1" applyFill="1" applyBorder="1" applyAlignment="1">
      <alignment wrapText="1"/>
    </xf>
    <xf numFmtId="0" fontId="34" fillId="0" borderId="13" xfId="0" applyFont="1" applyBorder="1" applyAlignment="1">
      <alignment wrapText="1"/>
    </xf>
    <xf numFmtId="0" fontId="6" fillId="0" borderId="8" xfId="0" applyFont="1" applyBorder="1" applyAlignment="1">
      <alignment horizontal="left" wrapText="1"/>
    </xf>
    <xf numFmtId="0" fontId="1" fillId="0" borderId="9" xfId="0" applyFont="1" applyBorder="1" applyAlignment="1">
      <alignment horizontal="left" wrapText="1"/>
    </xf>
    <xf numFmtId="175" fontId="6" fillId="10" borderId="0" xfId="0" applyNumberFormat="1" applyFont="1" applyFill="1" applyAlignment="1">
      <alignment wrapText="1"/>
    </xf>
    <xf numFmtId="175" fontId="6" fillId="0" borderId="0" xfId="0" applyNumberFormat="1" applyFont="1" applyAlignment="1">
      <alignment wrapText="1"/>
    </xf>
    <xf numFmtId="186" fontId="32" fillId="10" borderId="0" xfId="0" applyNumberFormat="1" applyFont="1" applyFill="1" applyAlignment="1">
      <alignment wrapText="1"/>
    </xf>
    <xf numFmtId="186" fontId="32" fillId="0" borderId="0" xfId="0" applyNumberFormat="1" applyFont="1" applyAlignment="1">
      <alignment wrapText="1"/>
    </xf>
    <xf numFmtId="0" fontId="1" fillId="0" borderId="0" xfId="0" applyFont="1" applyAlignment="1">
      <alignment horizontal="left" wrapText="1" indent="4"/>
    </xf>
    <xf numFmtId="0" fontId="1" fillId="0" borderId="8" xfId="0" applyFont="1" applyBorder="1" applyAlignment="1">
      <alignment horizontal="left" wrapText="1" indent="4"/>
    </xf>
    <xf numFmtId="175" fontId="6" fillId="10" borderId="9" xfId="0" applyNumberFormat="1" applyFont="1" applyFill="1" applyBorder="1" applyAlignment="1">
      <alignment wrapText="1"/>
    </xf>
    <xf numFmtId="175" fontId="6" fillId="0" borderId="9" xfId="0" applyNumberFormat="1" applyFont="1" applyBorder="1" applyAlignment="1">
      <alignment wrapText="1"/>
    </xf>
    <xf numFmtId="191" fontId="1" fillId="0" borderId="0" xfId="0" applyNumberFormat="1" applyFont="1" applyAlignment="1">
      <alignment wrapText="1"/>
    </xf>
    <xf numFmtId="0" fontId="1" fillId="0" borderId="0" xfId="0" applyFont="1" applyAlignment="1">
      <alignment wrapText="1" indent="4"/>
    </xf>
    <xf numFmtId="0" fontId="1" fillId="0" borderId="8" xfId="0" applyFont="1" applyBorder="1" applyAlignment="1">
      <alignment wrapText="1" indent="4"/>
    </xf>
    <xf numFmtId="0" fontId="1" fillId="0" borderId="8" xfId="0" applyFont="1" applyBorder="1" applyAlignment="1">
      <alignment horizontal="left" wrapText="1" indent="2"/>
    </xf>
    <xf numFmtId="0" fontId="6" fillId="0" borderId="20" xfId="0" applyFont="1" applyBorder="1" applyAlignment="1">
      <alignment horizontal="left" wrapText="1"/>
    </xf>
    <xf numFmtId="188" fontId="1" fillId="10" borderId="21" xfId="0" applyNumberFormat="1" applyFont="1" applyFill="1" applyBorder="1" applyAlignment="1">
      <alignment wrapText="1"/>
    </xf>
    <xf numFmtId="188" fontId="1" fillId="0" borderId="21" xfId="0" applyNumberFormat="1" applyFont="1" applyBorder="1" applyAlignment="1">
      <alignment wrapText="1"/>
    </xf>
    <xf numFmtId="188" fontId="1" fillId="10" borderId="22" xfId="0" applyNumberFormat="1" applyFont="1" applyFill="1" applyBorder="1" applyAlignment="1">
      <alignment wrapText="1"/>
    </xf>
    <xf numFmtId="0" fontId="6" fillId="0" borderId="23" xfId="0" applyFont="1" applyBorder="1" applyAlignment="1">
      <alignment horizontal="left" wrapText="1"/>
    </xf>
    <xf numFmtId="188" fontId="1" fillId="10" borderId="24" xfId="0" applyNumberFormat="1" applyFont="1" applyFill="1" applyBorder="1" applyAlignment="1">
      <alignment wrapText="1"/>
    </xf>
    <xf numFmtId="188" fontId="1" fillId="0" borderId="24" xfId="0" applyNumberFormat="1" applyFont="1" applyBorder="1" applyAlignment="1">
      <alignment wrapText="1"/>
    </xf>
    <xf numFmtId="188" fontId="1" fillId="10" borderId="25" xfId="0" applyNumberFormat="1" applyFont="1" applyFill="1" applyBorder="1" applyAlignment="1">
      <alignment wrapText="1"/>
    </xf>
    <xf numFmtId="0" fontId="6" fillId="10" borderId="9" xfId="0" applyFont="1" applyFill="1" applyBorder="1" applyAlignment="1">
      <alignment wrapText="1"/>
    </xf>
    <xf numFmtId="0" fontId="6" fillId="0" borderId="9" xfId="0" applyFont="1" applyBorder="1" applyAlignment="1">
      <alignment wrapText="1"/>
    </xf>
    <xf numFmtId="0" fontId="6" fillId="10" borderId="0" xfId="0" applyFont="1" applyFill="1" applyAlignment="1">
      <alignment wrapText="1"/>
    </xf>
    <xf numFmtId="0" fontId="1" fillId="10" borderId="24" xfId="0" applyFont="1" applyFill="1" applyBorder="1" applyAlignment="1">
      <alignment wrapText="1"/>
    </xf>
    <xf numFmtId="0" fontId="1" fillId="0" borderId="26" xfId="0" applyFont="1" applyBorder="1" applyAlignment="1">
      <alignment wrapText="1"/>
    </xf>
    <xf numFmtId="0" fontId="1" fillId="0" borderId="21" xfId="0" applyFont="1" applyBorder="1" applyAlignment="1">
      <alignment horizontal="left" wrapText="1"/>
    </xf>
    <xf numFmtId="0" fontId="1" fillId="10" borderId="21" xfId="0" applyFont="1" applyFill="1" applyBorder="1" applyAlignment="1">
      <alignment wrapText="1"/>
    </xf>
    <xf numFmtId="0" fontId="1" fillId="0" borderId="21" xfId="0" applyFont="1" applyBorder="1" applyAlignment="1">
      <alignment wrapText="1"/>
    </xf>
    <xf numFmtId="175" fontId="1" fillId="10" borderId="8" xfId="0" applyNumberFormat="1" applyFont="1" applyFill="1" applyBorder="1" applyAlignment="1">
      <alignment wrapText="1"/>
    </xf>
    <xf numFmtId="0" fontId="6" fillId="0" borderId="9" xfId="0" applyFont="1" applyBorder="1" applyAlignment="1">
      <alignment horizontal="left" wrapText="1" indent="2"/>
    </xf>
    <xf numFmtId="171" fontId="6" fillId="10" borderId="9" xfId="0" applyNumberFormat="1" applyFont="1" applyFill="1" applyBorder="1" applyAlignment="1">
      <alignment wrapText="1"/>
    </xf>
    <xf numFmtId="171" fontId="6" fillId="0" borderId="9" xfId="0" applyNumberFormat="1" applyFont="1" applyBorder="1" applyAlignment="1">
      <alignment wrapText="1"/>
    </xf>
    <xf numFmtId="0" fontId="1" fillId="0" borderId="8" xfId="0" applyFont="1" applyBorder="1" applyAlignment="1">
      <alignment horizontal="left" wrapText="1"/>
    </xf>
    <xf numFmtId="0" fontId="35" fillId="0" borderId="0" xfId="0" applyFont="1" applyAlignment="1">
      <alignment horizontal="center" wrapText="1"/>
    </xf>
    <xf numFmtId="0" fontId="12" fillId="0" borderId="8" xfId="0" applyFont="1" applyBorder="1" applyAlignment="1">
      <alignment horizontal="center" wrapText="1"/>
    </xf>
    <xf numFmtId="0" fontId="0" fillId="0" borderId="0" xfId="0"/>
    <xf numFmtId="14" fontId="9" fillId="2" borderId="1" xfId="0" applyNumberFormat="1" applyFont="1" applyFill="1" applyBorder="1" applyAlignment="1">
      <alignment horizontal="center" wrapText="1"/>
    </xf>
    <xf numFmtId="0" fontId="15" fillId="2" borderId="11" xfId="0" applyFont="1" applyFill="1" applyBorder="1" applyAlignment="1">
      <alignment horizontal="left" wrapText="1"/>
    </xf>
    <xf numFmtId="0" fontId="8" fillId="0" borderId="0" xfId="0" applyFont="1" applyAlignment="1">
      <alignment horizontal="left" wrapText="1"/>
    </xf>
    <xf numFmtId="0" fontId="12" fillId="0" borderId="0" xfId="0" applyFont="1" applyAlignment="1">
      <alignment horizontal="left" wrapText="1"/>
    </xf>
    <xf numFmtId="14" fontId="13" fillId="3" borderId="4" xfId="0" applyNumberFormat="1" applyFont="1" applyFill="1" applyBorder="1" applyAlignment="1">
      <alignment horizontal="left" wrapText="1"/>
    </xf>
    <xf numFmtId="0" fontId="15" fillId="3" borderId="0" xfId="0" applyFont="1" applyFill="1" applyAlignment="1">
      <alignment horizontal="left" wrapText="1"/>
    </xf>
    <xf numFmtId="0" fontId="15" fillId="3" borderId="5" xfId="0" applyFont="1" applyFill="1" applyBorder="1" applyAlignment="1">
      <alignment horizontal="left" wrapText="1"/>
    </xf>
    <xf numFmtId="0" fontId="6" fillId="3" borderId="2" xfId="0" applyFont="1" applyFill="1" applyBorder="1" applyAlignment="1">
      <alignment horizontal="left" wrapText="1"/>
    </xf>
    <xf numFmtId="0" fontId="15" fillId="3" borderId="9" xfId="0" applyFont="1" applyFill="1" applyBorder="1" applyAlignment="1">
      <alignment horizontal="left" wrapText="1"/>
    </xf>
    <xf numFmtId="0" fontId="15" fillId="3" borderId="3" xfId="0" applyFont="1" applyFill="1" applyBorder="1" applyAlignment="1">
      <alignment horizontal="left" wrapText="1"/>
    </xf>
    <xf numFmtId="0" fontId="14" fillId="0" borderId="8" xfId="0" applyFont="1" applyBorder="1" applyAlignment="1">
      <alignment horizontal="center" wrapText="1"/>
    </xf>
    <xf numFmtId="0" fontId="16" fillId="0" borderId="8" xfId="0" applyFont="1" applyBorder="1" applyAlignment="1">
      <alignment wrapText="1"/>
    </xf>
    <xf numFmtId="0" fontId="16" fillId="0" borderId="8" xfId="0" applyFont="1" applyBorder="1" applyAlignment="1">
      <alignment horizontal="left" wrapText="1"/>
    </xf>
    <xf numFmtId="0" fontId="1" fillId="0" borderId="0" xfId="0" applyFont="1" applyAlignment="1">
      <alignment horizontal="center" wrapText="1"/>
    </xf>
    <xf numFmtId="0" fontId="16" fillId="0" borderId="0" xfId="0" applyFont="1" applyAlignment="1">
      <alignment wrapText="1"/>
    </xf>
    <xf numFmtId="0" fontId="14" fillId="0" borderId="0" xfId="0" applyFont="1" applyAlignment="1">
      <alignment horizontal="center" wrapText="1"/>
    </xf>
    <xf numFmtId="0" fontId="17" fillId="7" borderId="8" xfId="0" applyFont="1" applyFill="1" applyBorder="1" applyAlignment="1">
      <alignment horizontal="center" wrapText="1"/>
    </xf>
    <xf numFmtId="0" fontId="16" fillId="0" borderId="8" xfId="0" applyFont="1" applyBorder="1" applyAlignment="1">
      <alignment horizontal="center" wrapText="1"/>
    </xf>
    <xf numFmtId="0" fontId="16" fillId="0" borderId="9" xfId="0" applyFont="1" applyBorder="1" applyAlignment="1">
      <alignment horizontal="center" wrapText="1"/>
    </xf>
    <xf numFmtId="0" fontId="14" fillId="6" borderId="8" xfId="0" applyFont="1" applyFill="1" applyBorder="1" applyAlignment="1">
      <alignment horizontal="center" wrapText="1"/>
    </xf>
    <xf numFmtId="0" fontId="16" fillId="0" borderId="0" xfId="0" applyFont="1" applyAlignment="1">
      <alignment horizontal="center" wrapText="1"/>
    </xf>
    <xf numFmtId="0" fontId="14" fillId="0" borderId="10" xfId="0" applyFont="1" applyBorder="1" applyAlignment="1">
      <alignment horizontal="center" wrapText="1"/>
    </xf>
    <xf numFmtId="0" fontId="16" fillId="0" borderId="0" xfId="0" applyFont="1" applyAlignment="1">
      <alignment horizontal="left" wrapText="1"/>
    </xf>
    <xf numFmtId="0" fontId="17" fillId="0" borderId="8" xfId="0" applyFont="1" applyBorder="1" applyAlignment="1">
      <alignment horizontal="center" wrapText="1"/>
    </xf>
    <xf numFmtId="0" fontId="18" fillId="0" borderId="8" xfId="0" applyFont="1" applyBorder="1" applyAlignment="1">
      <alignment horizontal="center" wrapText="1"/>
    </xf>
    <xf numFmtId="0" fontId="22" fillId="0" borderId="0" xfId="0" applyFont="1" applyAlignment="1">
      <alignment horizontal="left" wrapText="1"/>
    </xf>
    <xf numFmtId="0" fontId="17" fillId="0" borderId="0" xfId="0" applyFont="1" applyAlignment="1">
      <alignment horizontal="center" wrapText="1"/>
    </xf>
    <xf numFmtId="0" fontId="22" fillId="0" borderId="0" xfId="0" applyFont="1" applyAlignment="1">
      <alignment horizontal="right" wrapText="1"/>
    </xf>
    <xf numFmtId="0" fontId="14" fillId="7" borderId="0" xfId="0" applyFont="1" applyFill="1" applyAlignment="1">
      <alignment horizontal="center" wrapText="1"/>
    </xf>
    <xf numFmtId="0" fontId="14" fillId="5" borderId="0" xfId="0" applyFont="1" applyFill="1" applyAlignment="1">
      <alignment horizontal="center" wrapText="1"/>
    </xf>
    <xf numFmtId="0" fontId="14" fillId="11" borderId="8" xfId="0" applyFont="1" applyFill="1" applyBorder="1" applyAlignment="1">
      <alignment horizontal="center" wrapText="1"/>
    </xf>
    <xf numFmtId="0" fontId="27" fillId="0" borderId="8" xfId="0" applyFont="1" applyBorder="1" applyAlignment="1">
      <alignment horizontal="center" wrapText="1"/>
    </xf>
    <xf numFmtId="0" fontId="1" fillId="11" borderId="8" xfId="0" applyFont="1" applyFill="1" applyBorder="1" applyAlignment="1">
      <alignment horizontal="center" wrapText="1"/>
    </xf>
    <xf numFmtId="0" fontId="27" fillId="0" borderId="9" xfId="0" applyFont="1" applyBorder="1" applyAlignment="1">
      <alignment horizontal="center" wrapText="1"/>
    </xf>
    <xf numFmtId="0" fontId="16" fillId="0" borderId="10" xfId="0" applyFont="1" applyBorder="1" applyAlignment="1">
      <alignment horizontal="center" wrapText="1"/>
    </xf>
    <xf numFmtId="0" fontId="14" fillId="0" borderId="1" xfId="0" applyFont="1" applyBorder="1" applyAlignment="1">
      <alignment horizontal="center" wrapText="1"/>
    </xf>
    <xf numFmtId="0" fontId="14" fillId="0" borderId="11" xfId="0" applyFont="1" applyBorder="1" applyAlignment="1">
      <alignment horizontal="center" wrapText="1"/>
    </xf>
    <xf numFmtId="0" fontId="22" fillId="0" borderId="9" xfId="0" applyFont="1" applyBorder="1" applyAlignment="1">
      <alignment vertical="center" wrapText="1"/>
    </xf>
    <xf numFmtId="0" fontId="28" fillId="0" borderId="0" xfId="0" applyFont="1" applyAlignment="1">
      <alignment wrapText="1"/>
    </xf>
    <xf numFmtId="0" fontId="1" fillId="0" borderId="8" xfId="0" applyFont="1" applyBorder="1" applyAlignment="1">
      <alignment horizontal="center" wrapText="1"/>
    </xf>
    <xf numFmtId="0" fontId="31" fillId="0" borderId="2" xfId="0" applyFont="1" applyBorder="1" applyAlignment="1">
      <alignment horizontal="center" wrapText="1"/>
    </xf>
    <xf numFmtId="0" fontId="31" fillId="0" borderId="9" xfId="0" applyFont="1" applyBorder="1" applyAlignment="1">
      <alignment horizontal="center" wrapText="1"/>
    </xf>
    <xf numFmtId="0" fontId="31" fillId="0" borderId="3" xfId="0" applyFont="1" applyBorder="1" applyAlignment="1">
      <alignment horizontal="center" wrapText="1"/>
    </xf>
    <xf numFmtId="0" fontId="36" fillId="0" borderId="0" xfId="6" applyAlignment="1">
      <alignment wrapText="1"/>
    </xf>
    <xf numFmtId="0" fontId="36" fillId="0" borderId="0" xfId="6"/>
    <xf numFmtId="0" fontId="6" fillId="0" borderId="0" xfId="0" applyFont="1" applyAlignment="1">
      <alignment wrapText="1"/>
    </xf>
    <xf numFmtId="0" fontId="1" fillId="0" borderId="6" xfId="0" applyFont="1" applyBorder="1" applyAlignment="1">
      <alignment vertical="top" wrapText="1"/>
    </xf>
    <xf numFmtId="0" fontId="32" fillId="0" borderId="0" xfId="0" applyFont="1" applyAlignment="1">
      <alignment horizontal="left" wrapText="1"/>
    </xf>
    <xf numFmtId="0" fontId="1" fillId="0" borderId="0" xfId="1">
      <alignment wrapText="1"/>
    </xf>
  </cellXfs>
  <cellStyles count="7">
    <cellStyle name="Heading 1" xfId="3" xr:uid="{00000000-0005-0000-0000-000003000000}"/>
    <cellStyle name="Heading 2" xfId="4" xr:uid="{00000000-0005-0000-0000-000004000000}"/>
    <cellStyle name="Heading 3" xfId="5" xr:uid="{00000000-0005-0000-0000-000005000000}"/>
    <cellStyle name="Hyperlink" xfId="6" builtinId="8"/>
    <cellStyle name="Normal" xfId="0" builtinId="0"/>
    <cellStyle name="Normal 2" xfId="2" xr:uid="{00000000-0005-0000-0000-000002000000}"/>
    <cellStyle name="Table (Normal)" xfId="1" xr:uid="{00000000-0005-0000-0000-000001000000}"/>
  </cellStyles>
  <dxfs count="2">
    <dxf>
      <font>
        <color rgb="FFA71B19"/>
      </font>
      <fill>
        <patternFill patternType="solid">
          <bgColor rgb="FFF8A9A7"/>
        </patternFill>
      </fill>
    </dxf>
    <dxf>
      <font>
        <color rgb="FFA71B19"/>
      </font>
      <fill>
        <patternFill patternType="solid">
          <bgColor rgb="FFF8A9A7"/>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4</xdr:row>
      <xdr:rowOff>-1918055</xdr:rowOff>
    </xdr:from>
    <xdr:ext cx="5755464" cy="1868055"/>
    <xdr:pic>
      <xdr:nvPicPr>
        <xdr:cNvPr id="2" name="LiveRamp Logo Black.jpeg.jpg" descr="LiveRamp Logo Black.jpeg.jpg">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5755464" cy="186805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50000</xdr:colOff>
      <xdr:row>1</xdr:row>
      <xdr:rowOff>-457678</xdr:rowOff>
    </xdr:from>
    <xdr:ext cx="1255737" cy="407678"/>
    <xdr:pic>
      <xdr:nvPicPr>
        <xdr:cNvPr id="2" name="LiveRamp Logo Black.jpeg.jpg" descr="LiveRamp Logo Black.jpeg.jp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1255737" cy="407678"/>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50000</xdr:colOff>
      <xdr:row>1</xdr:row>
      <xdr:rowOff>-457678</xdr:rowOff>
    </xdr:from>
    <xdr:ext cx="1255737" cy="407678"/>
    <xdr:pic>
      <xdr:nvPicPr>
        <xdr:cNvPr id="2" name="LiveRamp Logo Black.jpeg.jpg" descr="LiveRamp Logo Black.jpeg.jp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1255737" cy="407678"/>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50000</xdr:colOff>
      <xdr:row>1</xdr:row>
      <xdr:rowOff>-457678</xdr:rowOff>
    </xdr:from>
    <xdr:ext cx="1255737" cy="407678"/>
    <xdr:pic>
      <xdr:nvPicPr>
        <xdr:cNvPr id="2" name="LiveRamp Logo Black.jpeg.jpg" descr="LiveRamp Logo Black.jpeg.jp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1255737" cy="407678"/>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50000</xdr:colOff>
      <xdr:row>1</xdr:row>
      <xdr:rowOff>-457678</xdr:rowOff>
    </xdr:from>
    <xdr:ext cx="1255737" cy="407678"/>
    <xdr:pic>
      <xdr:nvPicPr>
        <xdr:cNvPr id="2" name="LiveRamp Logo Black.jpeg.jpg" descr="LiveRamp Logo Black.jpeg.jp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1255737" cy="407678"/>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50000</xdr:colOff>
      <xdr:row>1</xdr:row>
      <xdr:rowOff>-457678</xdr:rowOff>
    </xdr:from>
    <xdr:ext cx="1255737" cy="407678"/>
    <xdr:pic>
      <xdr:nvPicPr>
        <xdr:cNvPr id="2" name="LiveRamp Logo Black.jpeg.jpg" descr="LiveRamp Logo Black.jpeg.jpg">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1255737" cy="407678"/>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50000</xdr:colOff>
      <xdr:row>1</xdr:row>
      <xdr:rowOff>-457678</xdr:rowOff>
    </xdr:from>
    <xdr:ext cx="1255737" cy="407678"/>
    <xdr:pic>
      <xdr:nvPicPr>
        <xdr:cNvPr id="2" name="LiveRamp Logo Black.jpeg.jpg" descr="LiveRamp Logo Black.jpeg.jpg">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1255737" cy="407678"/>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50000</xdr:colOff>
      <xdr:row>1</xdr:row>
      <xdr:rowOff>-457678</xdr:rowOff>
    </xdr:from>
    <xdr:ext cx="1255737" cy="407678"/>
    <xdr:pic>
      <xdr:nvPicPr>
        <xdr:cNvPr id="2" name="LiveRamp Logo Black.jpeg.jpg" descr="LiveRamp Logo Black.jpeg.jpg">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0" y="0"/>
          <a:ext cx="1255737" cy="407678"/>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BalSht"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Y24%20Statement%20of%20Equity"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FY23%20Statement%20of%20Equity"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hared%20drives/TR%20-%20Other/TR%20-%20Other/Travel/2025%20Viking%20Artic%20Explorer%20-%20Iceland&amp;Norway/NG%20EPS%20qtr/ytd"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SOCF%20qtr"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SOCF%20ytd"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Sht"/>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Y24 Statement of Equity"/>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Y23 Statement of Equity"/>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td"/>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CF qtr"/>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CF ytd"/>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28"/>
  <sheetViews>
    <sheetView showRuler="0" workbookViewId="0"/>
  </sheetViews>
  <sheetFormatPr defaultColWidth="13.08984375" defaultRowHeight="12.5" x14ac:dyDescent="0.25"/>
  <cols>
    <col min="1" max="1" width="20.1796875" customWidth="1"/>
    <col min="2" max="2" width="21.453125" customWidth="1"/>
    <col min="3" max="5" width="21.7265625" customWidth="1"/>
    <col min="6" max="26" width="20.1796875" customWidth="1"/>
  </cols>
  <sheetData>
    <row r="1" spans="1:8" ht="16.649999999999999" customHeight="1" x14ac:dyDescent="0.3">
      <c r="A1" s="2" t="s">
        <v>0</v>
      </c>
      <c r="E1" s="2" t="s">
        <v>1</v>
      </c>
      <c r="F1" s="3" t="s">
        <v>2</v>
      </c>
      <c r="G1" s="3" t="s">
        <v>3</v>
      </c>
    </row>
    <row r="2" spans="1:8" ht="24.15" customHeight="1" x14ac:dyDescent="0.45">
      <c r="A2" s="365" t="s">
        <v>4</v>
      </c>
      <c r="B2" s="362"/>
      <c r="C2" s="362"/>
    </row>
    <row r="3" spans="1:8" ht="16.649999999999999" customHeight="1" x14ac:dyDescent="0.25">
      <c r="A3" s="362"/>
      <c r="B3" s="362"/>
    </row>
    <row r="4" spans="1:8" ht="15.75" customHeight="1" x14ac:dyDescent="0.3">
      <c r="A4" s="363" t="s">
        <v>5</v>
      </c>
      <c r="B4" s="364"/>
      <c r="C4" s="9"/>
      <c r="E4" s="2" t="s">
        <v>6</v>
      </c>
    </row>
    <row r="5" spans="1:8" ht="15.75" customHeight="1" x14ac:dyDescent="0.3">
      <c r="A5" s="4" t="s">
        <v>7</v>
      </c>
      <c r="B5" s="5">
        <v>3</v>
      </c>
      <c r="C5" s="6" t="s">
        <v>8</v>
      </c>
    </row>
    <row r="6" spans="1:8" ht="15.75" customHeight="1" x14ac:dyDescent="0.3">
      <c r="A6" s="7" t="s">
        <v>9</v>
      </c>
      <c r="B6" s="8" t="s">
        <v>10</v>
      </c>
      <c r="C6" s="6" t="str">
        <f>B6&amp;"-"&amp;B19</f>
        <v>2024-2023</v>
      </c>
      <c r="F6" s="3" t="s">
        <v>11</v>
      </c>
    </row>
    <row r="7" spans="1:8" ht="15.75" customHeight="1" x14ac:dyDescent="0.3">
      <c r="A7" s="7" t="s">
        <v>12</v>
      </c>
      <c r="B7" s="8" t="s">
        <v>13</v>
      </c>
      <c r="C7" s="9" t="str">
        <f>"FY"&amp;B7&amp;" to FY"&amp;B21</f>
        <v>FY2025 to FY2024</v>
      </c>
      <c r="D7" s="2" t="str">
        <f>"FY"&amp;RIGHT(B7,2)</f>
        <v>FY25</v>
      </c>
    </row>
    <row r="8" spans="1:8" ht="15.75" customHeight="1" x14ac:dyDescent="0.3">
      <c r="A8" s="7" t="s">
        <v>14</v>
      </c>
      <c r="B8" s="10" t="s">
        <v>15</v>
      </c>
      <c r="C8" s="9"/>
      <c r="D8" s="2" t="s">
        <v>16</v>
      </c>
    </row>
    <row r="9" spans="1:8" ht="15.75" customHeight="1" x14ac:dyDescent="0.3">
      <c r="A9" s="7" t="s">
        <v>17</v>
      </c>
      <c r="B9" s="10">
        <v>45693</v>
      </c>
      <c r="C9" s="9"/>
    </row>
    <row r="10" spans="1:8" ht="15.75" customHeight="1" x14ac:dyDescent="0.3">
      <c r="A10" s="7" t="s">
        <v>18</v>
      </c>
      <c r="B10" s="10">
        <v>45688</v>
      </c>
      <c r="C10" s="9"/>
      <c r="F10" s="2" t="s">
        <v>19</v>
      </c>
    </row>
    <row r="11" spans="1:8" ht="15.75" customHeight="1" x14ac:dyDescent="0.3">
      <c r="A11" s="11" t="s">
        <v>20</v>
      </c>
      <c r="B11" s="12">
        <v>45691</v>
      </c>
      <c r="C11" s="9"/>
      <c r="H11" s="1" t="s">
        <v>21</v>
      </c>
    </row>
    <row r="12" spans="1:8" ht="16.649999999999999" customHeight="1" x14ac:dyDescent="0.3">
      <c r="A12" s="44"/>
      <c r="B12" s="44"/>
    </row>
    <row r="13" spans="1:8" ht="16.649999999999999" customHeight="1" x14ac:dyDescent="0.25">
      <c r="A13" s="13" t="s">
        <v>22</v>
      </c>
      <c r="B13" s="366" t="str">
        <f>"Dated:  "&amp;TEXT(B9,"mmmm d, yyyy")</f>
        <v>Dated:  February 5, 2025</v>
      </c>
      <c r="C13" s="362"/>
    </row>
    <row r="14" spans="1:8" ht="16.649999999999999" customHeight="1" x14ac:dyDescent="0.25">
      <c r="A14" s="13" t="s">
        <v>23</v>
      </c>
      <c r="B14" s="13" t="str">
        <f>IF(B5=4,"Annual","Quarterly")</f>
        <v>Quarterly</v>
      </c>
      <c r="C14" s="13" t="str">
        <f>IF(B5=4,"annual","quarterly")</f>
        <v>quarterly</v>
      </c>
    </row>
    <row r="15" spans="1:8" ht="16.649999999999999" customHeight="1" x14ac:dyDescent="0.25">
      <c r="A15" s="13" t="s">
        <v>24</v>
      </c>
      <c r="B15" s="13" t="str">
        <f>IF(B5=4,"10-K","10-Q")</f>
        <v>10-Q</v>
      </c>
    </row>
    <row r="16" spans="1:8" ht="16.649999999999999" customHeight="1" x14ac:dyDescent="0.25"/>
    <row r="17" spans="1:8" ht="27.5" customHeight="1" x14ac:dyDescent="0.3">
      <c r="A17" s="370" t="s">
        <v>25</v>
      </c>
      <c r="B17" s="371"/>
      <c r="C17" s="371"/>
      <c r="D17" s="371"/>
      <c r="E17" s="371"/>
      <c r="F17" s="371"/>
      <c r="G17" s="372"/>
      <c r="H17" s="17"/>
    </row>
    <row r="18" spans="1:8" ht="16.649999999999999" customHeight="1" x14ac:dyDescent="0.3">
      <c r="A18" s="367" t="s">
        <v>26</v>
      </c>
      <c r="B18" s="368"/>
      <c r="C18" s="368"/>
      <c r="D18" s="368"/>
      <c r="E18" s="368"/>
      <c r="F18" s="368"/>
      <c r="G18" s="369"/>
      <c r="H18" s="17"/>
    </row>
    <row r="19" spans="1:8" ht="14.15" customHeight="1" x14ac:dyDescent="0.25">
      <c r="A19" s="14" t="s">
        <v>27</v>
      </c>
      <c r="B19" s="15">
        <f>B6-1</f>
        <v>2023</v>
      </c>
      <c r="C19" s="15">
        <f>B19-1</f>
        <v>2022</v>
      </c>
      <c r="D19" s="15">
        <f>C19-1</f>
        <v>2021</v>
      </c>
      <c r="E19" s="15">
        <f>D19-1</f>
        <v>2020</v>
      </c>
      <c r="H19" s="17"/>
    </row>
    <row r="20" spans="1:8" ht="24.15" customHeight="1" x14ac:dyDescent="0.25">
      <c r="A20" s="14" t="s">
        <v>28</v>
      </c>
      <c r="B20" s="13" t="str">
        <f>B19&amp;"-"&amp;C19</f>
        <v>2023-2022</v>
      </c>
      <c r="C20" s="13" t="str">
        <f>C19&amp;"-"&amp;D19</f>
        <v>2022-2021</v>
      </c>
      <c r="D20" s="13" t="str">
        <f>D19&amp;"-"&amp;E19</f>
        <v>2021-2020</v>
      </c>
      <c r="H20" s="17"/>
    </row>
    <row r="21" spans="1:8" ht="24.15" customHeight="1" x14ac:dyDescent="0.25">
      <c r="A21" s="14" t="s">
        <v>29</v>
      </c>
      <c r="B21" s="15">
        <f>B7-1</f>
        <v>2024</v>
      </c>
      <c r="C21" s="15">
        <f>B21-1</f>
        <v>2023</v>
      </c>
      <c r="D21" s="15">
        <f>C21-1</f>
        <v>2022</v>
      </c>
      <c r="E21" s="15">
        <f>D21-1</f>
        <v>2021</v>
      </c>
      <c r="H21" s="17"/>
    </row>
    <row r="22" spans="1:8" ht="24.15" customHeight="1" x14ac:dyDescent="0.25">
      <c r="A22" s="14" t="s">
        <v>30</v>
      </c>
      <c r="B22" s="13" t="str">
        <f>IF(B5=1,"THREE MONTHS ENDED",IF(B5=2,"SIX MONTHS ENDED",IF(B5=3,"NINE MONTHS ENDED","TWELVE MONTHS ENDED")))</f>
        <v>NINE MONTHS ENDED</v>
      </c>
      <c r="C22" s="13" t="str">
        <f>IF(B5=1,"Three months ended",IF(B5=2,"Six months ended",IF(B5=3,"Nine months ended","Twelve months ended")))</f>
        <v>Nine months ended</v>
      </c>
      <c r="D22" s="13" t="str">
        <f>IF(B5=1,"Three Months Ended",IF(B5=2,"Six Months Ended",IF(B5=3,"Nine Months Ended","Twelve Months Ended")))</f>
        <v>Nine Months Ended</v>
      </c>
      <c r="E22" s="13" t="str">
        <f>IF(B5=1,"three months ended",IF(B5=2,"six months ended",IF(B5=3,"nine months ended","twelve months ended")))</f>
        <v>nine months ended</v>
      </c>
      <c r="F22" s="13" t="str">
        <f>"For the "&amp;IF(B5=1,"three months ended",IF(B5=2,"six months ended",IF(B5=3,"nine months ended","twelve months ended")))</f>
        <v>For the nine months ended</v>
      </c>
      <c r="H22" s="17"/>
    </row>
    <row r="23" spans="1:8" ht="24.15" customHeight="1" x14ac:dyDescent="0.25">
      <c r="A23" s="14" t="s">
        <v>31</v>
      </c>
      <c r="B23" s="13" t="s">
        <v>32</v>
      </c>
      <c r="C23" s="13" t="s">
        <v>33</v>
      </c>
      <c r="D23" s="13" t="s">
        <v>34</v>
      </c>
      <c r="E23" s="13" t="s">
        <v>35</v>
      </c>
      <c r="F23" s="13" t="s">
        <v>36</v>
      </c>
      <c r="H23" s="17"/>
    </row>
    <row r="24" spans="1:8" ht="24.15" customHeight="1" x14ac:dyDescent="0.25">
      <c r="A24" s="14" t="s">
        <v>37</v>
      </c>
      <c r="B24" s="13" t="s">
        <v>38</v>
      </c>
      <c r="C24" s="13" t="str">
        <f>IF(B5=1,"Three",IF(B5=2,"Three and six",IF(B5=3,"Three and nine","Twelve months ended")))</f>
        <v>Three and nine</v>
      </c>
      <c r="D24" s="13" t="str">
        <f>IF(B5=1,"THREE MONTHS ENDED",IF(B5=2,"THREE AND SIX MONTHS ENDED",IF(B5=3,"THREE AND NINE MONTHS ENDED","TWELVE MONTHS ENDED")))</f>
        <v>THREE AND NINE MONTHS ENDED</v>
      </c>
      <c r="E24" s="13" t="str">
        <f>IF(B5=1,"Three Months Ended",IF(B5=2,"Three and Six Months Ended",IF(B5=3,"Three and Nine Months Ended","Twelve Months Ended")))</f>
        <v>Three and Nine Months Ended</v>
      </c>
      <c r="F24" s="13" t="str">
        <f>"for the "&amp;IF(B5=1,"three months ended",IF(B5=2,"three and six months ended",IF(B5=3,"three and nine months ended","twelve months ended")))</f>
        <v>for the three and nine months ended</v>
      </c>
      <c r="G24" s="13" t="str">
        <f>"in the "&amp;IF(B5=1,"three months ended",IF(B5=2,"three and six months ended",IF(B5=3,"three and nine months ended","twelve months ended")))</f>
        <v>in the three and nine months ended</v>
      </c>
    </row>
    <row r="25" spans="1:8" ht="14.15" customHeight="1" x14ac:dyDescent="0.25">
      <c r="A25" s="14" t="s">
        <v>39</v>
      </c>
      <c r="B25" s="13" t="str">
        <f>IF(B5=1,"First",IF(B5=2,"Second",IF(B5=3,"Third","Fourth")))</f>
        <v>Third</v>
      </c>
      <c r="C25" s="13" t="str">
        <f>IF(B5=1,"1st",IF(B5=2,"2nd",IF(B5=3,"3rd","4th")))</f>
        <v>3rd</v>
      </c>
      <c r="D25" s="13" t="str">
        <f>IF(B5=1,"first",IF(B5=2,"second",IF(B5=3,"third","fourth")))</f>
        <v>third</v>
      </c>
      <c r="H25" s="17"/>
    </row>
    <row r="26" spans="1:8" ht="16.649999999999999" customHeight="1" x14ac:dyDescent="0.25">
      <c r="A26" s="14"/>
      <c r="H26" s="17"/>
    </row>
    <row r="27" spans="1:8" ht="24.15" customHeight="1" x14ac:dyDescent="0.25">
      <c r="A27" s="14" t="s">
        <v>40</v>
      </c>
      <c r="B27" s="16" t="s">
        <v>41</v>
      </c>
      <c r="C27" s="16" t="s">
        <v>42</v>
      </c>
      <c r="D27" s="16" t="s">
        <v>43</v>
      </c>
      <c r="E27" s="16" t="s">
        <v>44</v>
      </c>
      <c r="H27" s="17" t="s">
        <v>45</v>
      </c>
    </row>
    <row r="28" spans="1:8" ht="14.15" customHeight="1" x14ac:dyDescent="0.25">
      <c r="A28" s="45"/>
      <c r="B28" s="18" t="str">
        <f>IF(B5=1,"June 30,",IF(B5=2,"September 30,",IF(B5=3,"December 31,","March 31,")))</f>
        <v>December 31,</v>
      </c>
      <c r="C28" s="19" t="str">
        <f>IF(B5=1,"June 30,",IF(B5=2,"September 30,",IF(B5=3,"December 31,","March 31,")))</f>
        <v>December 31,</v>
      </c>
      <c r="D28" s="19" t="str">
        <f>IF(B5=1,"June 30,",IF(B5=2,"September 30,",IF(B5=3,"December 31,","March 31,")))</f>
        <v>December 31,</v>
      </c>
      <c r="E28" s="19" t="str">
        <f>IF(B5=1,"June 30,",IF(B5=2,"September 30,",IF(B5=3,"December 31,","March 31,")))</f>
        <v>December 31,</v>
      </c>
      <c r="H28" s="20" t="str">
        <f>TEXT(B29,"mmmm d, yyyy")</f>
        <v>December 31, 2024</v>
      </c>
    </row>
    <row r="29" spans="1:8" ht="14.15" customHeight="1" x14ac:dyDescent="0.25">
      <c r="A29" s="45"/>
      <c r="B29" s="21">
        <f>DATEVALUE(B28&amp;" "&amp;B6)</f>
        <v>45657</v>
      </c>
      <c r="C29" s="21">
        <f>DATEVALUE(C28&amp;" "&amp;B19)</f>
        <v>45291</v>
      </c>
      <c r="D29" s="21">
        <f>DATEVALUE(D28&amp;" "&amp;C19)</f>
        <v>44926</v>
      </c>
      <c r="E29" s="21">
        <f>DATEVALUE(E28&amp;" "&amp;D19)</f>
        <v>44561</v>
      </c>
      <c r="H29" s="46"/>
    </row>
    <row r="30" spans="1:8" ht="14.15" customHeight="1" x14ac:dyDescent="0.25">
      <c r="A30" s="45"/>
      <c r="B30" s="21">
        <f>DATEVALUE(IF(B5=1,"JUNE 30,",IF(B5=2,"SEPTEMBER 30,",IF(B5=3,"DECEMBER 31,","MARCH 31,")))&amp;" "&amp;B6)</f>
        <v>45657</v>
      </c>
      <c r="C30" s="21">
        <f>DATEVALUE(IF(B5=1,"JUNE 30,",IF(B5=2,"SEPTEMBER 30,",IF(B5=3,"DECEMBER 31,","MARCH 31,")))&amp;" "&amp;B19)</f>
        <v>45291</v>
      </c>
      <c r="H30" s="46"/>
    </row>
    <row r="31" spans="1:8" ht="23.25" customHeight="1" x14ac:dyDescent="0.25">
      <c r="A31" s="45"/>
      <c r="B31" s="22" t="str">
        <f>"Balances at "&amp;B28&amp;" "&amp;B6</f>
        <v>Balances at December 31, 2024</v>
      </c>
      <c r="C31" s="22" t="str">
        <f>"Balances at "&amp;C28&amp;" "&amp;B19</f>
        <v>Balances at December 31, 2023</v>
      </c>
      <c r="D31" s="22" t="str">
        <f>"Balances at "&amp;D28&amp;" "&amp;C19</f>
        <v>Balances at December 31, 2022</v>
      </c>
      <c r="E31" s="22" t="str">
        <f>"Balances at "&amp;E28&amp;" "&amp;D19</f>
        <v>Balances at December 31, 2021</v>
      </c>
      <c r="H31" s="46"/>
    </row>
    <row r="32" spans="1:8" ht="23.25" customHeight="1" x14ac:dyDescent="0.25">
      <c r="A32" s="47"/>
      <c r="B32" s="22" t="str">
        <f>"Balance at "&amp;B28&amp;" "&amp;B6</f>
        <v>Balance at December 31, 2024</v>
      </c>
      <c r="C32" s="22" t="str">
        <f>"Balance at "&amp;C28&amp;" "&amp;B19</f>
        <v>Balance at December 31, 2023</v>
      </c>
      <c r="D32" s="22" t="str">
        <f>"Balance at "&amp;D28&amp;" "&amp;C19</f>
        <v>Balance at December 31, 2022</v>
      </c>
      <c r="E32" s="22" t="str">
        <f>"Balance at "&amp;E28&amp;" "&amp;D19</f>
        <v>Balance at December 31, 2021</v>
      </c>
      <c r="H32" s="46"/>
    </row>
    <row r="33" spans="1:8" ht="16.649999999999999" customHeight="1" x14ac:dyDescent="0.25">
      <c r="A33" s="48"/>
      <c r="B33" s="13" t="str">
        <f>"Q"&amp;$B$5&amp;" FY"&amp;RIGHT(B7,2)</f>
        <v>Q3 FY25</v>
      </c>
      <c r="C33" s="13" t="str">
        <f>"Q"&amp;$B$5&amp;" FY"&amp;RIGHT(B21,2)</f>
        <v>Q3 FY24</v>
      </c>
      <c r="D33" s="13" t="str">
        <f>"Q"&amp;$B$5&amp;" FY"&amp;RIGHT(C21,2)</f>
        <v>Q3 FY23</v>
      </c>
      <c r="E33" s="13" t="str">
        <f>"Q"&amp;$B$5&amp;" FY"&amp;RIGHT(D21,2)</f>
        <v>Q3 FY22</v>
      </c>
      <c r="H33" s="17"/>
    </row>
    <row r="34" spans="1:8" ht="16.649999999999999" customHeight="1" x14ac:dyDescent="0.25">
      <c r="A34" s="48"/>
      <c r="B34" s="13" t="str">
        <f>"Q"&amp;$B$5&amp;RIGHT(B7,2)</f>
        <v>Q325</v>
      </c>
      <c r="C34" s="13" t="str">
        <f>"Q"&amp;$B$5&amp;RIGHT(B21,2)</f>
        <v>Q324</v>
      </c>
      <c r="D34" s="13" t="str">
        <f>"Q"&amp;$B$5&amp;RIGHT(C21,2)</f>
        <v>Q323</v>
      </c>
      <c r="E34" s="13" t="str">
        <f>"Q"&amp;$B$5&amp;RIGHT(D21,2)</f>
        <v>Q322</v>
      </c>
      <c r="H34" s="17"/>
    </row>
    <row r="35" spans="1:8" ht="23.25" customHeight="1" x14ac:dyDescent="0.25">
      <c r="A35" s="48"/>
      <c r="B35" s="13" t="str">
        <f>"Q"&amp;$B$5&amp;" FISCAL "&amp;B7&amp;" FINANCIAL RESULTS"</f>
        <v>Q3 FISCAL 2025 FINANCIAL RESULTS</v>
      </c>
      <c r="C35" s="13" t="str">
        <f>"Q"&amp;$B$5&amp;" FISCAL "&amp;B21&amp;" FINANCIAL RESULTS"</f>
        <v>Q3 FISCAL 2024 FINANCIAL RESULTS</v>
      </c>
      <c r="H35" s="17"/>
    </row>
    <row r="36" spans="1:8" ht="15.75" customHeight="1" x14ac:dyDescent="0.25">
      <c r="A36" s="14"/>
      <c r="H36" s="17"/>
    </row>
    <row r="37" spans="1:8" ht="15.75" customHeight="1" x14ac:dyDescent="0.25">
      <c r="A37" s="14" t="s">
        <v>46</v>
      </c>
      <c r="B37" s="16" t="s">
        <v>47</v>
      </c>
      <c r="C37" s="16" t="s">
        <v>48</v>
      </c>
      <c r="D37" s="16" t="s">
        <v>49</v>
      </c>
      <c r="E37" s="16" t="s">
        <v>50</v>
      </c>
      <c r="H37" s="17"/>
    </row>
    <row r="38" spans="1:8" ht="14.15" customHeight="1" x14ac:dyDescent="0.25">
      <c r="A38" s="45"/>
      <c r="B38" s="23">
        <f>DATEVALUE("March 31, "&amp;B7)</f>
        <v>45747</v>
      </c>
      <c r="C38" s="23">
        <f>DATEVALUE("March 31, "&amp;B21)</f>
        <v>45382</v>
      </c>
      <c r="D38" s="23">
        <f>DATEVALUE("March 31, "&amp;C21)</f>
        <v>45016</v>
      </c>
      <c r="E38" s="23">
        <f>DATEVALUE("March 31, "&amp;D21)</f>
        <v>44651</v>
      </c>
      <c r="H38" s="17"/>
    </row>
    <row r="39" spans="1:8" ht="15.75" customHeight="1" x14ac:dyDescent="0.25">
      <c r="A39" s="45"/>
      <c r="B39" s="22" t="str">
        <f>"Balances at "&amp;TEXT(B38,"mmmm d, yyyy")</f>
        <v>Balances at March 31, 2025</v>
      </c>
      <c r="C39" s="22" t="str">
        <f>"Balances at "&amp;TEXT(C38,"mmmm d, yyyy")</f>
        <v>Balances at March 31, 2024</v>
      </c>
      <c r="D39" s="22" t="str">
        <f>"Balances at "&amp;TEXT(D38,"mmmm d, yyyy")</f>
        <v>Balances at March 31, 2023</v>
      </c>
      <c r="E39" s="22" t="str">
        <f>"Balances at "&amp;TEXT(E38,"mmmm d, yyyy")</f>
        <v>Balances at March 31, 2022</v>
      </c>
      <c r="H39" s="17"/>
    </row>
    <row r="40" spans="1:8" ht="16.649999999999999" customHeight="1" x14ac:dyDescent="0.25">
      <c r="A40" s="14"/>
      <c r="B40" s="22" t="str">
        <f>"fiscal "&amp;B7</f>
        <v>fiscal 2025</v>
      </c>
      <c r="C40" s="22" t="str">
        <f>"fiscal "&amp;B21</f>
        <v>fiscal 2024</v>
      </c>
      <c r="D40" s="22" t="str">
        <f>"fiscal "&amp;C21</f>
        <v>fiscal 2023</v>
      </c>
      <c r="E40" s="22" t="str">
        <f>"fiscal "&amp;D21</f>
        <v>fiscal 2022</v>
      </c>
      <c r="H40" s="17"/>
    </row>
    <row r="41" spans="1:8" ht="16.649999999999999" customHeight="1" x14ac:dyDescent="0.25">
      <c r="A41" s="14"/>
      <c r="H41" s="17"/>
    </row>
    <row r="42" spans="1:8" ht="14.15" customHeight="1" x14ac:dyDescent="0.25">
      <c r="A42" s="14" t="s">
        <v>51</v>
      </c>
      <c r="B42" s="361" t="s">
        <v>52</v>
      </c>
      <c r="C42" s="362"/>
      <c r="E42" s="361" t="s">
        <v>53</v>
      </c>
      <c r="F42" s="362"/>
      <c r="G42" s="362"/>
      <c r="H42" s="17"/>
    </row>
    <row r="43" spans="1:8" ht="23.25" customHeight="1" x14ac:dyDescent="0.25">
      <c r="A43" s="14"/>
      <c r="B43" s="24" t="s">
        <v>41</v>
      </c>
      <c r="C43" s="24" t="s">
        <v>42</v>
      </c>
      <c r="E43" s="24" t="s">
        <v>41</v>
      </c>
      <c r="F43" s="24" t="s">
        <v>42</v>
      </c>
      <c r="G43" s="25" t="s">
        <v>43</v>
      </c>
      <c r="H43" s="17"/>
    </row>
    <row r="44" spans="1:8" ht="23.25" customHeight="1" x14ac:dyDescent="0.25">
      <c r="A44" s="14"/>
      <c r="B44" s="26" t="str">
        <f>"Three Months Ended "&amp;TEXT(B29,"mmmm d, yyyy")</f>
        <v>Three Months Ended December 31, 2024</v>
      </c>
      <c r="C44" s="26" t="str">
        <f>"Three Months Ended "&amp;TEXT(C29,"mmmm d, yyyy")</f>
        <v>Three Months Ended December 31, 2023</v>
      </c>
      <c r="E44" s="26" t="str">
        <f>D22&amp;" "&amp;TEXT(B29,"mmmm d, yyyy")</f>
        <v>Nine Months Ended December 31, 2024</v>
      </c>
      <c r="F44" s="26" t="str">
        <f>D22&amp;" "&amp;TEXT(C29,"mmmm d, yyyy")</f>
        <v>Nine Months Ended December 31, 2023</v>
      </c>
      <c r="G44" s="27" t="str">
        <f>D22&amp;" "&amp;TEXT(D29,"mmmm d, yyyy")</f>
        <v>Nine Months Ended December 31, 2022</v>
      </c>
      <c r="H44" s="17"/>
    </row>
    <row r="45" spans="1:8" ht="23.25" customHeight="1" x14ac:dyDescent="0.25">
      <c r="A45" s="14"/>
      <c r="B45" s="13" t="str">
        <f>B47&amp;" "&amp;B6</f>
        <v>three months ended December 31, 2024</v>
      </c>
      <c r="C45" s="13" t="str">
        <f>B47&amp;" "&amp;B19</f>
        <v>three months ended December 31, 2023</v>
      </c>
      <c r="E45" s="13" t="str">
        <f>E22&amp;" "&amp;TEXT(B29,"mmmm d, yyyy")</f>
        <v>nine months ended December 31, 2024</v>
      </c>
      <c r="F45" s="13" t="str">
        <f>E22&amp;" "&amp;TEXT(C29,"mmmm d, yyyy")</f>
        <v>nine months ended December 31, 2023</v>
      </c>
      <c r="G45" s="28" t="str">
        <f>E47&amp;" "&amp;C19</f>
        <v>Nine months ended December 31, 2022</v>
      </c>
      <c r="H45" s="17"/>
    </row>
    <row r="46" spans="1:8" ht="30" customHeight="1" x14ac:dyDescent="0.25">
      <c r="A46" s="14"/>
      <c r="B46" s="13" t="str">
        <f>"Three Months Ended "&amp;B28</f>
        <v>Three Months Ended December 31,</v>
      </c>
      <c r="C46" s="13" t="str">
        <f>B48&amp;" "&amp;B19</f>
        <v>For the three months ended December 31, 2023</v>
      </c>
      <c r="E46" s="13" t="str">
        <f>D22&amp;" "&amp;B28</f>
        <v>Nine Months Ended December 31,</v>
      </c>
      <c r="H46" s="17"/>
    </row>
    <row r="47" spans="1:8" ht="32.5" customHeight="1" x14ac:dyDescent="0.25">
      <c r="A47" s="14"/>
      <c r="B47" s="13" t="str">
        <f>"three months ended "&amp;B28</f>
        <v>three months ended December 31,</v>
      </c>
      <c r="E47" s="13" t="str">
        <f>C22&amp;" "&amp;B28</f>
        <v>Nine months ended December 31,</v>
      </c>
      <c r="F47" s="13" t="str">
        <f>F22&amp;" "&amp;TEXT(C29,"MMMM D, YYYY")</f>
        <v>For the nine months ended December 31, 2023</v>
      </c>
      <c r="H47" s="17"/>
    </row>
    <row r="48" spans="1:8" ht="23.25" customHeight="1" x14ac:dyDescent="0.25">
      <c r="A48" s="14"/>
      <c r="B48" s="13" t="str">
        <f>"For the three months ended "&amp;B28</f>
        <v>For the three months ended December 31,</v>
      </c>
      <c r="E48" s="13" t="str">
        <f>E47&amp;" "&amp;B6</f>
        <v>Nine months ended December 31, 2024</v>
      </c>
      <c r="H48" s="17"/>
    </row>
    <row r="49" spans="1:8" ht="23.25" customHeight="1" x14ac:dyDescent="0.25">
      <c r="A49" s="14"/>
      <c r="B49" s="13" t="str">
        <f>"For the three months ended "&amp;TEXT(B29,"mmmm d, yyyy")</f>
        <v>For the three months ended December 31, 2024</v>
      </c>
      <c r="C49" s="13" t="str">
        <f>"For the three months ended "&amp;TEXT(C29,"mmmm d, yyyy")</f>
        <v>For the three months ended December 31, 2023</v>
      </c>
      <c r="E49" s="13" t="str">
        <f>B22&amp;" "&amp;TEXT(B30,"mmmm d, yyyy")</f>
        <v>NINE MONTHS ENDED December 31, 2024</v>
      </c>
      <c r="H49" s="17"/>
    </row>
    <row r="50" spans="1:8" ht="23.25" customHeight="1" x14ac:dyDescent="0.25">
      <c r="A50" s="14"/>
      <c r="B50" s="13" t="str">
        <f>"quarter ended "&amp;TEXT(B29,"mmmm d, yyyy")</f>
        <v>quarter ended December 31, 2024</v>
      </c>
      <c r="E50" s="13" t="str">
        <f>"For the "&amp;E22&amp;" "&amp;B28</f>
        <v>For the nine months ended December 31,</v>
      </c>
      <c r="F50" s="13" t="str">
        <f>"For the "&amp;E22&amp;" "&amp;C28</f>
        <v>For the nine months ended December 31,</v>
      </c>
      <c r="H50" s="17"/>
    </row>
    <row r="51" spans="1:8" ht="29.15" customHeight="1" x14ac:dyDescent="0.25">
      <c r="A51" s="14"/>
      <c r="B51" s="13" t="str">
        <f>"Quarter ended "&amp;TEXT(B29,"mmmm d, yyyy")</f>
        <v>Quarter ended December 31, 2024</v>
      </c>
      <c r="E51" s="13" t="str">
        <f>E50&amp;" "&amp;B6</f>
        <v>For the nine months ended December 31, 2024</v>
      </c>
      <c r="F51" s="13" t="str">
        <f>F50&amp;" "&amp;B19</f>
        <v>For the nine months ended December 31, 2023</v>
      </c>
      <c r="H51" s="17"/>
    </row>
    <row r="52" spans="1:8" ht="23.25" customHeight="1" x14ac:dyDescent="0.25">
      <c r="A52" s="14"/>
      <c r="E52" s="13" t="str">
        <f>E22&amp;" "&amp;TEXT(B29,"mmmm d, yyyy")</f>
        <v>nine months ended December 31, 2024</v>
      </c>
      <c r="H52" s="17"/>
    </row>
    <row r="53" spans="1:8" ht="23.25" customHeight="1" x14ac:dyDescent="0.25">
      <c r="A53" s="14"/>
      <c r="E53" s="13" t="str">
        <f>"For the year ended "&amp;TEXT(B30,"mmmm d")&amp;","</f>
        <v>For the year ended December 31,</v>
      </c>
      <c r="H53" s="17"/>
    </row>
    <row r="54" spans="1:8" ht="23.25" customHeight="1" x14ac:dyDescent="0.25">
      <c r="A54" s="14"/>
      <c r="H54" s="17"/>
    </row>
    <row r="55" spans="1:8" ht="23.25" customHeight="1" x14ac:dyDescent="0.25">
      <c r="A55" s="14" t="s">
        <v>54</v>
      </c>
      <c r="B55" s="29" t="str">
        <f>"Three Months Ended"&amp;CHAR(10)&amp;TEXT(B29,"mmmm d, yyyy")</f>
        <v>Three Months Ended
December 31, 2024</v>
      </c>
      <c r="C55" s="29" t="str">
        <f>"Three Months Ended"&amp;CHAR(10)&amp;TEXT(C29,"mmmm d, yyyy")</f>
        <v>Three Months Ended
December 31, 2023</v>
      </c>
      <c r="E55" s="29" t="str">
        <f>D22&amp;CHAR(10)&amp;TEXT(B29,"mmmm d, yyyy")</f>
        <v>Nine Months Ended
December 31, 2024</v>
      </c>
      <c r="F55" s="29" t="str">
        <f>D22&amp;CHAR(10)&amp;TEXT(C29,"mmmm d, yyyy")</f>
        <v>Nine Months Ended
December 31, 2023</v>
      </c>
      <c r="G55" s="30" t="str">
        <f>D22&amp;CHAR(10)&amp;TEXT(D29,"mmmm d, yyyy")</f>
        <v>Nine Months Ended
December 31, 2022</v>
      </c>
      <c r="H55" s="17"/>
    </row>
    <row r="56" spans="1:8" ht="23.25" customHeight="1" x14ac:dyDescent="0.25">
      <c r="A56" s="14"/>
      <c r="B56" s="29" t="str">
        <f>"Three Months Ended"&amp;CHAR(10)&amp;B28</f>
        <v>Three Months Ended
December 31,</v>
      </c>
      <c r="E56" s="29" t="str">
        <f>D22&amp;CHAR(10)&amp;B28</f>
        <v>Nine Months Ended
December 31,</v>
      </c>
      <c r="H56" s="17"/>
    </row>
    <row r="57" spans="1:8" ht="34.15" customHeight="1" x14ac:dyDescent="0.25">
      <c r="A57" s="14"/>
      <c r="B57" s="29" t="str">
        <f>"For the three months ended"&amp;CHAR(10)&amp;B28</f>
        <v>For the three months ended
December 31,</v>
      </c>
      <c r="E57" s="29" t="str">
        <f>"For the "&amp;E22&amp;CHAR(10)&amp;B28</f>
        <v>For the nine months ended
December 31,</v>
      </c>
      <c r="H57" s="17"/>
    </row>
    <row r="58" spans="1:8" ht="16.649999999999999" customHeight="1" x14ac:dyDescent="0.25">
      <c r="A58" s="14"/>
      <c r="H58" s="17"/>
    </row>
    <row r="59" spans="1:8" ht="14.15" customHeight="1" x14ac:dyDescent="0.25">
      <c r="A59" s="14" t="s">
        <v>55</v>
      </c>
      <c r="B59" s="31">
        <f>B7+1</f>
        <v>2026</v>
      </c>
      <c r="H59" s="17"/>
    </row>
    <row r="60" spans="1:8" ht="14.15" customHeight="1" x14ac:dyDescent="0.25">
      <c r="A60" s="14"/>
      <c r="B60" s="31">
        <f>B59+1</f>
        <v>2027</v>
      </c>
      <c r="H60" s="17"/>
    </row>
    <row r="61" spans="1:8" ht="14.15" customHeight="1" x14ac:dyDescent="0.25">
      <c r="A61" s="14"/>
      <c r="B61" s="31">
        <f>B60+1</f>
        <v>2028</v>
      </c>
      <c r="H61" s="17"/>
    </row>
    <row r="62" spans="1:8" ht="14.15" customHeight="1" x14ac:dyDescent="0.25">
      <c r="A62" s="14"/>
      <c r="B62" s="31">
        <f>B61+1</f>
        <v>2029</v>
      </c>
      <c r="H62" s="17"/>
    </row>
    <row r="63" spans="1:8" ht="14.15" customHeight="1" x14ac:dyDescent="0.25">
      <c r="A63" s="49"/>
      <c r="B63" s="32">
        <f>B62+1</f>
        <v>2030</v>
      </c>
      <c r="H63" s="17"/>
    </row>
    <row r="64" spans="1:8" ht="16.649999999999999" customHeight="1" x14ac:dyDescent="0.3">
      <c r="A64" s="44"/>
      <c r="B64" s="44"/>
      <c r="C64" s="44"/>
      <c r="D64" s="44"/>
      <c r="E64" s="44"/>
      <c r="F64" s="44"/>
      <c r="G64" s="44"/>
    </row>
    <row r="65" spans="1:4" ht="16.649999999999999" customHeight="1" x14ac:dyDescent="0.25"/>
    <row r="66" spans="1:4" ht="15.75" customHeight="1" x14ac:dyDescent="0.3">
      <c r="A66" s="363" t="s">
        <v>56</v>
      </c>
      <c r="B66" s="364"/>
      <c r="C66" s="9"/>
    </row>
    <row r="67" spans="1:4" ht="25.75" customHeight="1" x14ac:dyDescent="0.3">
      <c r="A67" s="33" t="s">
        <v>57</v>
      </c>
      <c r="B67" s="34">
        <f>$B$38</f>
        <v>45747</v>
      </c>
      <c r="C67" s="9"/>
    </row>
    <row r="68" spans="1:4" ht="25.75" customHeight="1" x14ac:dyDescent="0.3">
      <c r="A68" s="35" t="s">
        <v>58</v>
      </c>
      <c r="B68" s="36">
        <f>$B$29</f>
        <v>45657</v>
      </c>
      <c r="C68" s="9"/>
    </row>
    <row r="69" spans="1:4" ht="25.75" customHeight="1" x14ac:dyDescent="0.3">
      <c r="A69" s="35" t="s">
        <v>59</v>
      </c>
      <c r="B69" s="37" t="str">
        <f>+B7</f>
        <v>2025</v>
      </c>
      <c r="C69" s="9"/>
    </row>
    <row r="70" spans="1:4" ht="35.75" customHeight="1" x14ac:dyDescent="0.3">
      <c r="A70" s="35" t="s">
        <v>60</v>
      </c>
      <c r="B70" s="38" t="str">
        <f>IF(B5=1,"Q1",IF(B5=2,"Q2",IF(B5=3,"Q3","FY")))</f>
        <v>Q3</v>
      </c>
      <c r="C70" s="9" t="s">
        <v>61</v>
      </c>
      <c r="D70" s="2" t="s">
        <v>12</v>
      </c>
    </row>
    <row r="71" spans="1:4" ht="25.75" customHeight="1" x14ac:dyDescent="0.3">
      <c r="A71" s="11" t="s">
        <v>62</v>
      </c>
      <c r="B71" s="39">
        <f>$B$10</f>
        <v>45688</v>
      </c>
      <c r="C71" s="9"/>
    </row>
    <row r="72" spans="1:4" ht="16.649999999999999" customHeight="1" x14ac:dyDescent="0.25">
      <c r="A72" s="50"/>
      <c r="B72" s="50"/>
    </row>
    <row r="73" spans="1:4" ht="15" customHeight="1" x14ac:dyDescent="0.25">
      <c r="A73" s="13" t="s">
        <v>63</v>
      </c>
      <c r="B73" s="40">
        <v>158539867</v>
      </c>
    </row>
    <row r="74" spans="1:4" ht="15" customHeight="1" x14ac:dyDescent="0.25">
      <c r="A74" s="13" t="s">
        <v>64</v>
      </c>
      <c r="B74" s="40">
        <v>-92779177</v>
      </c>
    </row>
    <row r="75" spans="1:4" ht="26.65" customHeight="1" x14ac:dyDescent="0.25">
      <c r="A75" s="41" t="s">
        <v>65</v>
      </c>
      <c r="B75" s="42">
        <f>SUM(B73:B74)</f>
        <v>65760690</v>
      </c>
    </row>
    <row r="76" spans="1:4" ht="16.649999999999999" customHeight="1" x14ac:dyDescent="0.25">
      <c r="A76" s="41" t="s">
        <v>66</v>
      </c>
      <c r="B76" s="43" t="s">
        <v>67</v>
      </c>
    </row>
    <row r="77" spans="1:4" ht="16.649999999999999" customHeight="1" x14ac:dyDescent="0.25">
      <c r="A77" s="41" t="s">
        <v>68</v>
      </c>
      <c r="B77" s="43" t="s">
        <v>69</v>
      </c>
    </row>
    <row r="78" spans="1:4" ht="16.649999999999999" customHeight="1" x14ac:dyDescent="0.25">
      <c r="A78" s="41" t="s">
        <v>70</v>
      </c>
      <c r="B78" s="43">
        <f>+B71</f>
        <v>45688</v>
      </c>
    </row>
    <row r="79" spans="1:4" ht="16.649999999999999" customHeight="1" x14ac:dyDescent="0.25">
      <c r="A79" s="41" t="s">
        <v>71</v>
      </c>
      <c r="B79" s="42">
        <v>0</v>
      </c>
    </row>
    <row r="80" spans="1:4"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row r="98" ht="16.649999999999999" customHeight="1" x14ac:dyDescent="0.25"/>
    <row r="99" ht="16.649999999999999" customHeight="1" x14ac:dyDescent="0.25"/>
    <row r="100" ht="16.649999999999999" customHeight="1" x14ac:dyDescent="0.25"/>
    <row r="101" ht="16.649999999999999" customHeight="1" x14ac:dyDescent="0.25"/>
    <row r="102" ht="16.649999999999999" customHeight="1" x14ac:dyDescent="0.25"/>
    <row r="103" ht="16.649999999999999" customHeight="1" x14ac:dyDescent="0.25"/>
    <row r="104" ht="16.649999999999999" customHeight="1" x14ac:dyDescent="0.25"/>
    <row r="105" ht="16.649999999999999" customHeight="1" x14ac:dyDescent="0.25"/>
    <row r="106" ht="16.649999999999999" customHeight="1" x14ac:dyDescent="0.25"/>
    <row r="107" ht="16.649999999999999" customHeight="1" x14ac:dyDescent="0.25"/>
    <row r="108" ht="16.649999999999999" customHeight="1" x14ac:dyDescent="0.25"/>
    <row r="109" ht="16.649999999999999" customHeight="1" x14ac:dyDescent="0.25"/>
    <row r="110" ht="16.649999999999999" customHeight="1" x14ac:dyDescent="0.25"/>
    <row r="111" ht="16.649999999999999" customHeight="1" x14ac:dyDescent="0.25"/>
    <row r="112" ht="16.649999999999999" customHeight="1" x14ac:dyDescent="0.25"/>
    <row r="113" ht="16.649999999999999" customHeight="1" x14ac:dyDescent="0.25"/>
    <row r="114" ht="16.649999999999999" customHeight="1" x14ac:dyDescent="0.25"/>
    <row r="115" ht="16.649999999999999" customHeight="1" x14ac:dyDescent="0.25"/>
    <row r="116" ht="16.649999999999999" customHeight="1" x14ac:dyDescent="0.25"/>
    <row r="117" ht="16.649999999999999" customHeight="1" x14ac:dyDescent="0.25"/>
    <row r="118" ht="16.649999999999999" customHeight="1" x14ac:dyDescent="0.25"/>
    <row r="119" ht="16.649999999999999" customHeight="1" x14ac:dyDescent="0.25"/>
    <row r="120" ht="16.649999999999999" customHeight="1" x14ac:dyDescent="0.25"/>
    <row r="121" ht="16.649999999999999" customHeight="1" x14ac:dyDescent="0.25"/>
    <row r="122" ht="16.649999999999999" customHeight="1" x14ac:dyDescent="0.25"/>
    <row r="123" ht="16.649999999999999" customHeight="1" x14ac:dyDescent="0.25"/>
    <row r="124" ht="16.649999999999999" customHeight="1" x14ac:dyDescent="0.25"/>
    <row r="125" ht="16.649999999999999" customHeight="1" x14ac:dyDescent="0.25"/>
    <row r="126" ht="16.649999999999999" customHeight="1" x14ac:dyDescent="0.25"/>
    <row r="127" ht="16.649999999999999" customHeight="1" x14ac:dyDescent="0.25"/>
    <row r="128" ht="16.649999999999999" customHeight="1" x14ac:dyDescent="0.25"/>
  </sheetData>
  <mergeCells count="9">
    <mergeCell ref="B42:C42"/>
    <mergeCell ref="E42:G42"/>
    <mergeCell ref="A66:B66"/>
    <mergeCell ref="A2:C2"/>
    <mergeCell ref="A3:B3"/>
    <mergeCell ref="A4:B4"/>
    <mergeCell ref="B13:C13"/>
    <mergeCell ref="A18:G18"/>
    <mergeCell ref="A17:G17"/>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23"/>
  <sheetViews>
    <sheetView tabSelected="1" showRuler="0" zoomScale="90" zoomScaleNormal="90" workbookViewId="0"/>
  </sheetViews>
  <sheetFormatPr defaultColWidth="13.08984375" defaultRowHeight="12.5" x14ac:dyDescent="0.25"/>
  <cols>
    <col min="1" max="5" width="16.08984375" customWidth="1"/>
  </cols>
  <sheetData>
    <row r="1" spans="1:6" ht="15" customHeight="1" x14ac:dyDescent="0.25"/>
    <row r="2" spans="1:6" ht="15" customHeight="1" x14ac:dyDescent="0.25"/>
    <row r="3" spans="1:6" ht="15" customHeight="1" x14ac:dyDescent="0.25"/>
    <row r="4" spans="1:6" ht="145.75" customHeight="1" x14ac:dyDescent="0.25">
      <c r="A4" s="376"/>
      <c r="B4" s="362"/>
      <c r="C4" s="362"/>
      <c r="D4" s="362"/>
      <c r="E4" s="362"/>
      <c r="F4" s="362"/>
    </row>
    <row r="5" spans="1:6" ht="15" customHeight="1" x14ac:dyDescent="0.25"/>
    <row r="6" spans="1:6" ht="15" customHeight="1" x14ac:dyDescent="0.35">
      <c r="B6" s="403" t="s">
        <v>420</v>
      </c>
      <c r="C6" s="404"/>
      <c r="D6" s="404"/>
      <c r="E6" s="405"/>
      <c r="F6" s="294"/>
    </row>
    <row r="7" spans="1:6" ht="15" customHeight="1" x14ac:dyDescent="0.35">
      <c r="B7" s="17"/>
      <c r="C7" s="291" t="s">
        <v>421</v>
      </c>
      <c r="D7" s="292" t="str">
        <f>+Dates!B70&amp;" "&amp;Dates!D7</f>
        <v>Q3 FY25</v>
      </c>
      <c r="F7" s="17"/>
    </row>
    <row r="8" spans="1:6" ht="15" customHeight="1" x14ac:dyDescent="0.25">
      <c r="B8" s="17"/>
      <c r="F8" s="17"/>
    </row>
    <row r="9" spans="1:6" ht="77.5" customHeight="1" x14ac:dyDescent="0.25">
      <c r="B9" s="409" t="s">
        <v>422</v>
      </c>
      <c r="C9" s="362"/>
      <c r="D9" s="362"/>
      <c r="E9" s="362"/>
      <c r="F9" s="17"/>
    </row>
    <row r="10" spans="1:6" ht="15" customHeight="1" x14ac:dyDescent="0.25">
      <c r="B10" s="50"/>
      <c r="C10" s="50"/>
      <c r="D10" s="50"/>
      <c r="E10" s="50"/>
    </row>
    <row r="11" spans="1:6" ht="15" customHeight="1" x14ac:dyDescent="0.3">
      <c r="B11" s="408" t="s">
        <v>423</v>
      </c>
      <c r="C11" s="362"/>
      <c r="D11" s="362"/>
      <c r="E11" s="362"/>
    </row>
    <row r="12" spans="1:6" ht="15" customHeight="1" x14ac:dyDescent="0.25">
      <c r="B12" s="406" t="s">
        <v>424</v>
      </c>
      <c r="C12" s="407"/>
      <c r="D12" s="407"/>
      <c r="E12" s="407"/>
    </row>
    <row r="13" spans="1:6" ht="15" customHeight="1" x14ac:dyDescent="0.25">
      <c r="B13" s="406" t="s">
        <v>425</v>
      </c>
      <c r="C13" s="407"/>
      <c r="D13" s="407"/>
      <c r="E13" s="407"/>
    </row>
    <row r="14" spans="1:6" ht="15" customHeight="1" x14ac:dyDescent="0.25">
      <c r="B14" s="406" t="s">
        <v>426</v>
      </c>
      <c r="C14" s="407"/>
      <c r="D14" s="407"/>
      <c r="E14" s="407"/>
    </row>
    <row r="15" spans="1:6" ht="15" customHeight="1" x14ac:dyDescent="0.25">
      <c r="B15" s="406" t="s">
        <v>427</v>
      </c>
      <c r="C15" s="407"/>
      <c r="D15" s="407"/>
      <c r="E15" s="407"/>
    </row>
    <row r="16" spans="1:6" ht="15" customHeight="1" x14ac:dyDescent="0.25">
      <c r="B16" s="406" t="s">
        <v>428</v>
      </c>
      <c r="C16" s="407"/>
      <c r="D16" s="407"/>
      <c r="E16" s="407"/>
    </row>
    <row r="17" spans="2:5" ht="15" customHeight="1" x14ac:dyDescent="0.25">
      <c r="B17" s="406" t="s">
        <v>429</v>
      </c>
      <c r="C17" s="407"/>
      <c r="D17" s="407"/>
      <c r="E17" s="407"/>
    </row>
    <row r="18" spans="2:5" ht="15" customHeight="1" x14ac:dyDescent="0.25">
      <c r="B18" s="406" t="s">
        <v>430</v>
      </c>
      <c r="C18" s="407"/>
      <c r="D18" s="407"/>
      <c r="E18" s="407"/>
    </row>
    <row r="19" spans="2:5" ht="15" customHeight="1" x14ac:dyDescent="0.25"/>
    <row r="20" spans="2:5" ht="15" customHeight="1" x14ac:dyDescent="0.25"/>
    <row r="21" spans="2:5" ht="15" customHeight="1" x14ac:dyDescent="0.25"/>
    <row r="22" spans="2:5" ht="15" customHeight="1" x14ac:dyDescent="0.25"/>
    <row r="23" spans="2:5" ht="15" customHeight="1" x14ac:dyDescent="0.25"/>
  </sheetData>
  <mergeCells count="11">
    <mergeCell ref="B13:E13"/>
    <mergeCell ref="B14:E14"/>
    <mergeCell ref="B15:E15"/>
    <mergeCell ref="B16:E16"/>
    <mergeCell ref="B18:E18"/>
    <mergeCell ref="B17:E17"/>
    <mergeCell ref="A4:F4"/>
    <mergeCell ref="B6:E6"/>
    <mergeCell ref="B12:E12"/>
    <mergeCell ref="B11:E11"/>
    <mergeCell ref="B9:E9"/>
  </mergeCells>
  <hyperlinks>
    <hyperlink ref="B12:E12" location="'Inc Stmt GAAP &amp; NG'!A1" display="Inc Stmt, GAAP &amp; NG" xr:uid="{6DE9BEEC-EA79-42C4-AA0A-8BD3FFB1DACB}"/>
    <hyperlink ref="B13:E13" location="'GAAP to Non-GAAP Inc Stmt Trend'!A1" display="GAAP to Non-GAAP Inc Stmt Trended" xr:uid="{725FABDE-90B9-4FAB-B692-2EFB9BFEA237}"/>
    <hyperlink ref="B14:E14" location="'EBITDA Trended'!A1" display="EBITDA Trended" xr:uid="{8FF97E78-838B-42BD-A7FA-7A7E08BE2CB5}"/>
    <hyperlink ref="B15:E15" location="'Revenue &amp; Customer Detail'!A1" display="Revenue &amp; Customer Detail Trended" xr:uid="{EFBB6CD5-2DC1-44A4-9691-17B8097B00B1}"/>
    <hyperlink ref="B16:E16" location="'EPS  Trended'!A1" display="EPS Trended" xr:uid="{6F53BCB5-BF7D-4584-B687-5465EAB66322}"/>
    <hyperlink ref="B17:E17" location="'Cash Flow Trended'!A1" display="Cash Flow Trended" xr:uid="{221FAE48-145C-4616-999D-AE8A70C8ADD5}"/>
    <hyperlink ref="B18:E18" location="'Balance Sheet Trended'!A1" display="Balance Sheet Trended" xr:uid="{BDF5A545-9EBB-4FF7-A75B-E487DA3D4254}"/>
  </hyperlinks>
  <pageMargins left="0.25" right="0.25" top="0.75" bottom="0.75" header="0.3" footer="0.3"/>
  <pageSetup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P71"/>
  <sheetViews>
    <sheetView zoomScale="90" zoomScaleNormal="90" workbookViewId="0">
      <pane xSplit="1" ySplit="2" topLeftCell="AC3" activePane="bottomRight" state="frozen"/>
      <selection pane="topRight"/>
      <selection pane="bottomLeft"/>
      <selection pane="bottomRight" activeCell="AM6" sqref="AM6"/>
    </sheetView>
  </sheetViews>
  <sheetFormatPr defaultColWidth="13.08984375" defaultRowHeight="12.5" outlineLevelCol="1" x14ac:dyDescent="0.25"/>
  <cols>
    <col min="1" max="1" width="42.54296875" customWidth="1"/>
    <col min="2" max="16" width="11.1796875" hidden="1" customWidth="1" outlineLevel="1"/>
    <col min="17" max="17" width="13.54296875" customWidth="1" collapsed="1"/>
    <col min="18" max="21" width="13.54296875" hidden="1" customWidth="1" outlineLevel="1"/>
    <col min="22" max="22" width="13.54296875" customWidth="1" collapsed="1"/>
    <col min="23" max="26" width="13.54296875" hidden="1" customWidth="1" outlineLevel="1"/>
    <col min="27" max="27" width="13.54296875" customWidth="1" collapsed="1"/>
    <col min="28" max="40" width="13.54296875" customWidth="1"/>
    <col min="41" max="42" width="13.54296875" hidden="1" customWidth="1"/>
    <col min="43" max="44" width="5.36328125" customWidth="1"/>
  </cols>
  <sheetData>
    <row r="1" spans="1:42" ht="34.15" customHeight="1" x14ac:dyDescent="0.25">
      <c r="A1" s="66"/>
    </row>
    <row r="2" spans="1:42" ht="16.649999999999999" customHeight="1" x14ac:dyDescent="0.3">
      <c r="A2" s="95" t="s">
        <v>431</v>
      </c>
    </row>
    <row r="3" spans="1:42" ht="16.649999999999999" customHeight="1" x14ac:dyDescent="0.25">
      <c r="A3" s="50" t="s">
        <v>432</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row>
    <row r="4" spans="1:42" ht="16.649999999999999" customHeight="1" x14ac:dyDescent="0.3">
      <c r="B4" s="185" t="s">
        <v>223</v>
      </c>
      <c r="C4" s="186" t="s">
        <v>224</v>
      </c>
      <c r="D4" s="186" t="s">
        <v>225</v>
      </c>
      <c r="E4" s="186" t="s">
        <v>226</v>
      </c>
      <c r="F4" s="186" t="s">
        <v>227</v>
      </c>
      <c r="G4" s="185" t="s">
        <v>228</v>
      </c>
      <c r="H4" s="186" t="s">
        <v>229</v>
      </c>
      <c r="I4" s="186" t="s">
        <v>230</v>
      </c>
      <c r="J4" s="186" t="s">
        <v>231</v>
      </c>
      <c r="K4" s="186" t="s">
        <v>232</v>
      </c>
      <c r="L4" s="185" t="s">
        <v>233</v>
      </c>
      <c r="M4" s="186" t="s">
        <v>234</v>
      </c>
      <c r="N4" s="186" t="s">
        <v>235</v>
      </c>
      <c r="O4" s="186" t="s">
        <v>236</v>
      </c>
      <c r="P4" s="186" t="s">
        <v>237</v>
      </c>
      <c r="Q4" s="185" t="s">
        <v>238</v>
      </c>
      <c r="R4" s="186" t="s">
        <v>239</v>
      </c>
      <c r="S4" s="186" t="s">
        <v>240</v>
      </c>
      <c r="T4" s="186" t="s">
        <v>241</v>
      </c>
      <c r="U4" s="186" t="s">
        <v>242</v>
      </c>
      <c r="V4" s="185" t="s">
        <v>243</v>
      </c>
      <c r="W4" s="186" t="s">
        <v>244</v>
      </c>
      <c r="X4" s="186" t="s">
        <v>245</v>
      </c>
      <c r="Y4" s="186" t="s">
        <v>246</v>
      </c>
      <c r="Z4" s="186" t="s">
        <v>247</v>
      </c>
      <c r="AA4" s="185" t="s">
        <v>248</v>
      </c>
      <c r="AB4" s="186" t="s">
        <v>249</v>
      </c>
      <c r="AC4" s="186" t="s">
        <v>250</v>
      </c>
      <c r="AD4" s="186" t="s">
        <v>251</v>
      </c>
      <c r="AE4" s="186" t="s">
        <v>252</v>
      </c>
      <c r="AF4" s="185" t="s">
        <v>253</v>
      </c>
      <c r="AG4" s="186" t="s">
        <v>254</v>
      </c>
      <c r="AH4" s="186" t="s">
        <v>255</v>
      </c>
      <c r="AI4" s="186" t="s">
        <v>256</v>
      </c>
      <c r="AJ4" s="186" t="s">
        <v>257</v>
      </c>
      <c r="AK4" s="185" t="s">
        <v>258</v>
      </c>
      <c r="AL4" s="186" t="s">
        <v>259</v>
      </c>
      <c r="AM4" s="186" t="s">
        <v>260</v>
      </c>
      <c r="AN4" s="186" t="s">
        <v>261</v>
      </c>
      <c r="AO4" s="186" t="s">
        <v>262</v>
      </c>
      <c r="AP4" s="185" t="s">
        <v>263</v>
      </c>
    </row>
    <row r="5" spans="1:42" ht="16.649999999999999" customHeight="1" x14ac:dyDescent="0.25">
      <c r="A5" s="1" t="s">
        <v>180</v>
      </c>
      <c r="B5" s="295">
        <v>174760000</v>
      </c>
      <c r="C5" s="296">
        <v>46757000</v>
      </c>
      <c r="D5" s="296">
        <v>54013000</v>
      </c>
      <c r="E5" s="296">
        <v>59121000</v>
      </c>
      <c r="F5" s="296">
        <v>60210000</v>
      </c>
      <c r="G5" s="295">
        <v>220101000</v>
      </c>
      <c r="H5" s="296">
        <v>62471000</v>
      </c>
      <c r="I5" s="296">
        <v>64812000</v>
      </c>
      <c r="J5" s="296">
        <v>80021000</v>
      </c>
      <c r="K5" s="296">
        <v>78316000</v>
      </c>
      <c r="L5" s="295">
        <v>285620000</v>
      </c>
      <c r="M5" s="296">
        <v>82511000</v>
      </c>
      <c r="N5" s="296">
        <v>90143000</v>
      </c>
      <c r="O5" s="296">
        <v>102217000</v>
      </c>
      <c r="P5" s="296">
        <v>105701000</v>
      </c>
      <c r="Q5" s="295">
        <f>SUM(M5:P5)</f>
        <v>380572000</v>
      </c>
      <c r="R5" s="296">
        <v>99437000</v>
      </c>
      <c r="S5" s="296">
        <v>104661000</v>
      </c>
      <c r="T5" s="296">
        <v>119753000</v>
      </c>
      <c r="U5" s="296">
        <v>119175000</v>
      </c>
      <c r="V5" s="295">
        <f>SUM(R5:U5)</f>
        <v>443026000</v>
      </c>
      <c r="W5" s="296">
        <v>119038000</v>
      </c>
      <c r="X5" s="296">
        <v>127290000</v>
      </c>
      <c r="Y5" s="296">
        <v>140604000</v>
      </c>
      <c r="Z5" s="296">
        <v>141725000</v>
      </c>
      <c r="AA5" s="295">
        <f>SUM(W5:Z5)</f>
        <v>528657000</v>
      </c>
      <c r="AB5" s="296">
        <v>142243000</v>
      </c>
      <c r="AC5" s="296">
        <v>147099000</v>
      </c>
      <c r="AD5" s="296">
        <v>158615000</v>
      </c>
      <c r="AE5" s="296">
        <v>148626000</v>
      </c>
      <c r="AF5" s="295">
        <f>SUM(AB5:AE5)</f>
        <v>596583000</v>
      </c>
      <c r="AG5" s="296">
        <v>154069000</v>
      </c>
      <c r="AH5" s="296">
        <v>159871000</v>
      </c>
      <c r="AI5" s="296">
        <v>173869000</v>
      </c>
      <c r="AJ5" s="296">
        <v>171852000</v>
      </c>
      <c r="AK5" s="295">
        <f>SUM(AG5:AJ5)</f>
        <v>659661000</v>
      </c>
      <c r="AL5" s="296">
        <f>'1.Input IS Trend &amp; EPS'!AZ9</f>
        <v>175961000</v>
      </c>
      <c r="AM5" s="296">
        <f>'1.Input IS Trend &amp; EPS'!BA9</f>
        <v>185483000</v>
      </c>
      <c r="AN5" s="296">
        <f>'1.Input IS Trend &amp; EPS'!BB9</f>
        <v>195412000</v>
      </c>
      <c r="AO5" s="296">
        <f>'1.Input IS Trend &amp; EPS'!BC9</f>
        <v>0</v>
      </c>
      <c r="AP5" s="295">
        <f>SUM(AL5:AO5)</f>
        <v>556856000</v>
      </c>
    </row>
    <row r="6" spans="1:42" ht="16.649999999999999" customHeight="1" x14ac:dyDescent="0.25">
      <c r="B6" s="319"/>
      <c r="G6" s="319"/>
      <c r="L6" s="319"/>
      <c r="Q6" s="319"/>
      <c r="V6" s="319"/>
      <c r="AA6" s="319"/>
      <c r="AF6" s="319"/>
      <c r="AK6" s="319"/>
      <c r="AP6" s="319"/>
    </row>
    <row r="7" spans="1:42" ht="16.649999999999999" customHeight="1" x14ac:dyDescent="0.25">
      <c r="A7" s="293" t="s">
        <v>181</v>
      </c>
      <c r="B7" s="297">
        <v>99976000</v>
      </c>
      <c r="C7" s="255">
        <v>24061000</v>
      </c>
      <c r="D7" s="255">
        <v>24009000</v>
      </c>
      <c r="E7" s="255">
        <v>24526000</v>
      </c>
      <c r="F7" s="255">
        <v>23800000</v>
      </c>
      <c r="G7" s="297">
        <v>96396000</v>
      </c>
      <c r="H7" s="255">
        <v>23654000</v>
      </c>
      <c r="I7" s="255">
        <v>24466000</v>
      </c>
      <c r="J7" s="255">
        <v>34838000</v>
      </c>
      <c r="K7" s="255">
        <v>37760000</v>
      </c>
      <c r="L7" s="297">
        <v>120718000</v>
      </c>
      <c r="M7" s="255">
        <v>36426000</v>
      </c>
      <c r="N7" s="255">
        <v>41460000</v>
      </c>
      <c r="O7" s="255">
        <v>37966000</v>
      </c>
      <c r="P7" s="255">
        <v>36852000</v>
      </c>
      <c r="Q7" s="297">
        <f>SUM(M7:P7)</f>
        <v>152704000</v>
      </c>
      <c r="R7" s="255">
        <v>34465000</v>
      </c>
      <c r="S7" s="255">
        <v>34897000</v>
      </c>
      <c r="T7" s="255">
        <v>37085000</v>
      </c>
      <c r="U7" s="255">
        <v>37557000</v>
      </c>
      <c r="V7" s="297">
        <f>SUM(R7:U7)</f>
        <v>144004000</v>
      </c>
      <c r="W7" s="255">
        <v>34315000</v>
      </c>
      <c r="X7" s="255">
        <v>35079000</v>
      </c>
      <c r="Y7" s="255">
        <v>38557000</v>
      </c>
      <c r="Z7" s="255">
        <v>39476000</v>
      </c>
      <c r="AA7" s="297">
        <f>SUM(W7:Z7)</f>
        <v>147427000</v>
      </c>
      <c r="AB7" s="255">
        <v>41021000</v>
      </c>
      <c r="AC7" s="255">
        <v>42304000</v>
      </c>
      <c r="AD7" s="255">
        <v>43287000</v>
      </c>
      <c r="AE7" s="255">
        <v>43472000</v>
      </c>
      <c r="AF7" s="297">
        <f>SUM(AB7:AE7)</f>
        <v>170084000</v>
      </c>
      <c r="AG7" s="255">
        <v>45621000</v>
      </c>
      <c r="AH7" s="255">
        <v>41212000</v>
      </c>
      <c r="AI7" s="255">
        <v>44934000</v>
      </c>
      <c r="AJ7" s="255">
        <v>47722000</v>
      </c>
      <c r="AK7" s="297">
        <f>SUM(AG7:AJ7)</f>
        <v>179489000</v>
      </c>
      <c r="AL7" s="255">
        <f>'1.Input IS Trend &amp; EPS'!AZ10</f>
        <v>51749000</v>
      </c>
      <c r="AM7" s="255">
        <f>'1.Input IS Trend &amp; EPS'!BA10</f>
        <v>51234000</v>
      </c>
      <c r="AN7" s="255">
        <f>'1.Input IS Trend &amp; EPS'!BB10</f>
        <v>54998000</v>
      </c>
      <c r="AO7" s="255">
        <f>'1.Input IS Trend &amp; EPS'!BC10</f>
        <v>0</v>
      </c>
      <c r="AP7" s="297">
        <f>SUM(AL7:AO7)</f>
        <v>157981000</v>
      </c>
    </row>
    <row r="8" spans="1:42" ht="16.649999999999999" customHeight="1" x14ac:dyDescent="0.25">
      <c r="A8" s="298" t="s">
        <v>182</v>
      </c>
      <c r="B8" s="299">
        <f t="shared" ref="B8:AP8" si="0">+B5-B7</f>
        <v>74784000</v>
      </c>
      <c r="C8" s="258">
        <f t="shared" si="0"/>
        <v>22696000</v>
      </c>
      <c r="D8" s="258">
        <f t="shared" si="0"/>
        <v>30004000</v>
      </c>
      <c r="E8" s="258">
        <f t="shared" si="0"/>
        <v>34595000</v>
      </c>
      <c r="F8" s="258">
        <f t="shared" si="0"/>
        <v>36410000</v>
      </c>
      <c r="G8" s="299">
        <f t="shared" si="0"/>
        <v>123705000</v>
      </c>
      <c r="H8" s="258">
        <f t="shared" si="0"/>
        <v>38817000</v>
      </c>
      <c r="I8" s="258">
        <f t="shared" si="0"/>
        <v>40346000</v>
      </c>
      <c r="J8" s="258">
        <f t="shared" si="0"/>
        <v>45183000</v>
      </c>
      <c r="K8" s="258">
        <f t="shared" si="0"/>
        <v>40556000</v>
      </c>
      <c r="L8" s="299">
        <f t="shared" si="0"/>
        <v>164902000</v>
      </c>
      <c r="M8" s="258">
        <f t="shared" si="0"/>
        <v>46085000</v>
      </c>
      <c r="N8" s="258">
        <f t="shared" si="0"/>
        <v>48683000</v>
      </c>
      <c r="O8" s="258">
        <f t="shared" si="0"/>
        <v>64251000</v>
      </c>
      <c r="P8" s="258">
        <f t="shared" si="0"/>
        <v>68849000</v>
      </c>
      <c r="Q8" s="299">
        <f t="shared" si="0"/>
        <v>227868000</v>
      </c>
      <c r="R8" s="258">
        <f t="shared" si="0"/>
        <v>64972000</v>
      </c>
      <c r="S8" s="258">
        <f t="shared" si="0"/>
        <v>69764000</v>
      </c>
      <c r="T8" s="258">
        <f t="shared" si="0"/>
        <v>82668000</v>
      </c>
      <c r="U8" s="258">
        <f t="shared" si="0"/>
        <v>81618000</v>
      </c>
      <c r="V8" s="299">
        <f t="shared" si="0"/>
        <v>299022000</v>
      </c>
      <c r="W8" s="258">
        <f t="shared" si="0"/>
        <v>84723000</v>
      </c>
      <c r="X8" s="258">
        <f t="shared" si="0"/>
        <v>92211000</v>
      </c>
      <c r="Y8" s="258">
        <f t="shared" si="0"/>
        <v>102047000</v>
      </c>
      <c r="Z8" s="258">
        <f t="shared" si="0"/>
        <v>102249000</v>
      </c>
      <c r="AA8" s="299">
        <f t="shared" si="0"/>
        <v>381230000</v>
      </c>
      <c r="AB8" s="258">
        <f t="shared" si="0"/>
        <v>101222000</v>
      </c>
      <c r="AC8" s="258">
        <f t="shared" si="0"/>
        <v>104795000</v>
      </c>
      <c r="AD8" s="258">
        <f t="shared" si="0"/>
        <v>115328000</v>
      </c>
      <c r="AE8" s="258">
        <f t="shared" si="0"/>
        <v>105154000</v>
      </c>
      <c r="AF8" s="299">
        <f t="shared" si="0"/>
        <v>426499000</v>
      </c>
      <c r="AG8" s="258">
        <f t="shared" si="0"/>
        <v>108448000</v>
      </c>
      <c r="AH8" s="258">
        <f t="shared" si="0"/>
        <v>118659000</v>
      </c>
      <c r="AI8" s="258">
        <f t="shared" si="0"/>
        <v>128935000</v>
      </c>
      <c r="AJ8" s="258">
        <f t="shared" si="0"/>
        <v>124130000</v>
      </c>
      <c r="AK8" s="299">
        <f t="shared" si="0"/>
        <v>480172000</v>
      </c>
      <c r="AL8" s="258">
        <f t="shared" si="0"/>
        <v>124212000</v>
      </c>
      <c r="AM8" s="258">
        <f t="shared" si="0"/>
        <v>134249000</v>
      </c>
      <c r="AN8" s="258">
        <f t="shared" si="0"/>
        <v>140414000</v>
      </c>
      <c r="AO8" s="258">
        <f t="shared" si="0"/>
        <v>0</v>
      </c>
      <c r="AP8" s="299">
        <f t="shared" si="0"/>
        <v>398875000</v>
      </c>
    </row>
    <row r="9" spans="1:42" ht="16.649999999999999" customHeight="1" x14ac:dyDescent="0.3">
      <c r="A9" s="300" t="s">
        <v>183</v>
      </c>
      <c r="B9" s="301">
        <f t="shared" ref="B9:AK9" si="1">+B8/B5</f>
        <v>0.42792401007095443</v>
      </c>
      <c r="C9" s="302">
        <f t="shared" si="1"/>
        <v>0.48540325512757448</v>
      </c>
      <c r="D9" s="302">
        <f t="shared" si="1"/>
        <v>0.55549589913539332</v>
      </c>
      <c r="E9" s="302">
        <f t="shared" si="1"/>
        <v>0.58515586678168496</v>
      </c>
      <c r="F9" s="302">
        <f t="shared" si="1"/>
        <v>0.6047168244477662</v>
      </c>
      <c r="G9" s="301">
        <f t="shared" si="1"/>
        <v>0.56203742827156622</v>
      </c>
      <c r="H9" s="302">
        <f t="shared" si="1"/>
        <v>0.6213603111843895</v>
      </c>
      <c r="I9" s="302">
        <f t="shared" si="1"/>
        <v>0.62250817749799425</v>
      </c>
      <c r="J9" s="302">
        <f t="shared" si="1"/>
        <v>0.56463928218842552</v>
      </c>
      <c r="K9" s="302">
        <f t="shared" si="1"/>
        <v>0.51785075846570305</v>
      </c>
      <c r="L9" s="301">
        <f t="shared" si="1"/>
        <v>0.57734752468314543</v>
      </c>
      <c r="M9" s="302">
        <f t="shared" si="1"/>
        <v>0.55853158972743033</v>
      </c>
      <c r="N9" s="302">
        <f t="shared" si="1"/>
        <v>0.54006412034212303</v>
      </c>
      <c r="O9" s="302">
        <f t="shared" si="1"/>
        <v>0.62857450326266673</v>
      </c>
      <c r="P9" s="302">
        <f t="shared" si="1"/>
        <v>0.65135618395284811</v>
      </c>
      <c r="Q9" s="301">
        <f t="shared" si="1"/>
        <v>0.59875135322619633</v>
      </c>
      <c r="R9" s="302">
        <f t="shared" si="1"/>
        <v>0.65339863431117184</v>
      </c>
      <c r="S9" s="302">
        <f t="shared" si="1"/>
        <v>0.66657112009248909</v>
      </c>
      <c r="T9" s="302">
        <f t="shared" si="1"/>
        <v>0.69032091054086331</v>
      </c>
      <c r="U9" s="302">
        <f t="shared" si="1"/>
        <v>0.68485840151038391</v>
      </c>
      <c r="V9" s="301">
        <f t="shared" si="1"/>
        <v>0.6749536144605508</v>
      </c>
      <c r="W9" s="302">
        <f t="shared" si="1"/>
        <v>0.71173070784119352</v>
      </c>
      <c r="X9" s="302">
        <f t="shared" si="1"/>
        <v>0.7244166863068584</v>
      </c>
      <c r="Y9" s="302">
        <f t="shared" si="1"/>
        <v>0.72577593809564456</v>
      </c>
      <c r="Z9" s="302">
        <f t="shared" si="1"/>
        <v>0.7214605750573293</v>
      </c>
      <c r="AA9" s="301">
        <f t="shared" si="1"/>
        <v>0.72112920097530153</v>
      </c>
      <c r="AB9" s="302">
        <f t="shared" si="1"/>
        <v>0.71161322525537285</v>
      </c>
      <c r="AC9" s="302">
        <f t="shared" si="1"/>
        <v>0.71241136921393078</v>
      </c>
      <c r="AD9" s="302">
        <f t="shared" si="1"/>
        <v>0.72709390662925955</v>
      </c>
      <c r="AE9" s="302">
        <f t="shared" si="1"/>
        <v>0.70750743476915212</v>
      </c>
      <c r="AF9" s="301">
        <f t="shared" si="1"/>
        <v>0.71490303947648526</v>
      </c>
      <c r="AG9" s="302">
        <f t="shared" si="1"/>
        <v>0.70389241184144768</v>
      </c>
      <c r="AH9" s="302">
        <f t="shared" si="1"/>
        <v>0.74221716258733605</v>
      </c>
      <c r="AI9" s="302">
        <f t="shared" si="1"/>
        <v>0.74156405109594004</v>
      </c>
      <c r="AJ9" s="302">
        <f t="shared" si="1"/>
        <v>0.72230756697623533</v>
      </c>
      <c r="AK9" s="301">
        <f t="shared" si="1"/>
        <v>0.72790721294725624</v>
      </c>
      <c r="AL9" s="302">
        <f>IFERROR(+AL8/AL5,0)</f>
        <v>0.70590642244588286</v>
      </c>
      <c r="AM9" s="302">
        <f>IFERROR(+AM8/AM5,0)</f>
        <v>0.72378061601332733</v>
      </c>
      <c r="AN9" s="302">
        <f>IFERROR(+AN8/AN5,0)</f>
        <v>0.71855362004380485</v>
      </c>
      <c r="AO9" s="302">
        <f>IFERROR(+AO8/AO5,0)</f>
        <v>0</v>
      </c>
      <c r="AP9" s="301">
        <f>+AP8/AP5</f>
        <v>0.71629828896519032</v>
      </c>
    </row>
    <row r="10" spans="1:42" ht="16.649999999999999" customHeight="1" x14ac:dyDescent="0.25">
      <c r="B10" s="319"/>
      <c r="G10" s="319"/>
      <c r="L10" s="319"/>
      <c r="Q10" s="319"/>
      <c r="V10" s="319"/>
      <c r="AA10" s="319"/>
      <c r="AF10" s="319"/>
      <c r="AK10" s="319"/>
      <c r="AP10" s="319"/>
    </row>
    <row r="11" spans="1:42" ht="16.649999999999999" customHeight="1" x14ac:dyDescent="0.25">
      <c r="A11" s="1" t="s">
        <v>184</v>
      </c>
      <c r="B11" s="319"/>
      <c r="G11" s="319"/>
      <c r="L11" s="319"/>
      <c r="Q11" s="319"/>
      <c r="V11" s="319"/>
      <c r="AA11" s="319"/>
      <c r="AF11" s="319"/>
      <c r="AK11" s="319"/>
      <c r="AP11" s="319"/>
    </row>
    <row r="12" spans="1:42" ht="16.649999999999999" customHeight="1" x14ac:dyDescent="0.25">
      <c r="A12" s="303" t="s">
        <v>185</v>
      </c>
      <c r="B12" s="304">
        <v>49367000</v>
      </c>
      <c r="C12" s="83">
        <v>14840000</v>
      </c>
      <c r="D12" s="83">
        <v>15599000</v>
      </c>
      <c r="E12" s="83">
        <v>14311000</v>
      </c>
      <c r="F12" s="83">
        <v>15963000</v>
      </c>
      <c r="G12" s="304">
        <v>60713000</v>
      </c>
      <c r="H12" s="83">
        <v>16970000</v>
      </c>
      <c r="I12" s="83">
        <v>16940000</v>
      </c>
      <c r="J12" s="83">
        <v>20469000</v>
      </c>
      <c r="K12" s="83">
        <v>31318000</v>
      </c>
      <c r="L12" s="304">
        <v>85697000</v>
      </c>
      <c r="M12" s="83">
        <v>23722000</v>
      </c>
      <c r="N12" s="83">
        <v>26445000</v>
      </c>
      <c r="O12" s="83">
        <v>27403000</v>
      </c>
      <c r="P12" s="83">
        <v>28411000</v>
      </c>
      <c r="Q12" s="304">
        <f>SUM(M12:P12)</f>
        <v>105981000</v>
      </c>
      <c r="R12" s="83">
        <v>26989000</v>
      </c>
      <c r="S12" s="83">
        <v>31035000</v>
      </c>
      <c r="T12" s="83">
        <v>30608000</v>
      </c>
      <c r="U12" s="83">
        <v>46479000</v>
      </c>
      <c r="V12" s="304">
        <f>SUM(R12:U12)</f>
        <v>135111000</v>
      </c>
      <c r="W12" s="83">
        <v>34776000</v>
      </c>
      <c r="X12" s="83">
        <v>35788000</v>
      </c>
      <c r="Y12" s="83">
        <v>41870000</v>
      </c>
      <c r="Z12" s="83">
        <v>45501000</v>
      </c>
      <c r="AA12" s="304">
        <f>SUM(W12:Z12)</f>
        <v>157935000</v>
      </c>
      <c r="AB12" s="83">
        <v>47661000</v>
      </c>
      <c r="AC12" s="83">
        <v>46139000</v>
      </c>
      <c r="AD12" s="83">
        <v>43175000</v>
      </c>
      <c r="AE12" s="83">
        <v>52220000</v>
      </c>
      <c r="AF12" s="304">
        <f>SUM(AB12:AE12)</f>
        <v>189195000</v>
      </c>
      <c r="AG12" s="83">
        <v>34519000</v>
      </c>
      <c r="AH12" s="83">
        <v>33733000</v>
      </c>
      <c r="AI12" s="83">
        <v>37788000</v>
      </c>
      <c r="AJ12" s="83">
        <v>45161000</v>
      </c>
      <c r="AK12" s="304">
        <f>SUM(AG12:AJ12)</f>
        <v>151201000</v>
      </c>
      <c r="AL12" s="83">
        <f>'1.Input IS Trend &amp; EPS'!AZ16</f>
        <v>44118000</v>
      </c>
      <c r="AM12" s="83">
        <f>'1.Input IS Trend &amp; EPS'!BA16</f>
        <v>43889000</v>
      </c>
      <c r="AN12" s="83">
        <f>'1.Input IS Trend &amp; EPS'!BB16</f>
        <v>42735000</v>
      </c>
      <c r="AO12" s="83">
        <f>'1.Input IS Trend &amp; EPS'!BC16</f>
        <v>0</v>
      </c>
      <c r="AP12" s="304">
        <f>SUM(AL12:AO12)</f>
        <v>130742000</v>
      </c>
    </row>
    <row r="13" spans="1:42" ht="16.649999999999999" customHeight="1" x14ac:dyDescent="0.25">
      <c r="A13" s="303" t="s">
        <v>186</v>
      </c>
      <c r="B13" s="304">
        <v>59258000</v>
      </c>
      <c r="C13" s="83">
        <v>24091000</v>
      </c>
      <c r="D13" s="83">
        <v>25981000</v>
      </c>
      <c r="E13" s="83">
        <v>27832000</v>
      </c>
      <c r="F13" s="83">
        <v>30735000</v>
      </c>
      <c r="G13" s="304">
        <v>108639000</v>
      </c>
      <c r="H13" s="83">
        <v>33323000</v>
      </c>
      <c r="I13" s="83">
        <v>35940000</v>
      </c>
      <c r="J13" s="83">
        <v>40054000</v>
      </c>
      <c r="K13" s="83">
        <v>49223000</v>
      </c>
      <c r="L13" s="304">
        <v>158540000</v>
      </c>
      <c r="M13" s="83">
        <v>43144000</v>
      </c>
      <c r="N13" s="83">
        <v>45204000</v>
      </c>
      <c r="O13" s="83">
        <v>51993000</v>
      </c>
      <c r="P13" s="83">
        <v>48564000</v>
      </c>
      <c r="Q13" s="304">
        <f>SUM(M13:P13)</f>
        <v>188905000</v>
      </c>
      <c r="R13" s="83">
        <v>38627000</v>
      </c>
      <c r="S13" s="83">
        <v>41705000</v>
      </c>
      <c r="T13" s="83">
        <v>43904000</v>
      </c>
      <c r="U13" s="83">
        <v>53307000</v>
      </c>
      <c r="V13" s="304">
        <f>SUM(R13:U13)</f>
        <v>177543000</v>
      </c>
      <c r="W13" s="83">
        <v>41979000</v>
      </c>
      <c r="X13" s="83">
        <v>39509000</v>
      </c>
      <c r="Y13" s="83">
        <v>46324000</v>
      </c>
      <c r="Z13" s="83">
        <v>54951000</v>
      </c>
      <c r="AA13" s="304">
        <f>SUM(W13:Z13)</f>
        <v>182763000</v>
      </c>
      <c r="AB13" s="83">
        <v>51280000</v>
      </c>
      <c r="AC13" s="83">
        <v>45949000</v>
      </c>
      <c r="AD13" s="83">
        <v>47702000</v>
      </c>
      <c r="AE13" s="83">
        <v>57506000</v>
      </c>
      <c r="AF13" s="304">
        <f>SUM(AB13:AE13)</f>
        <v>202437000</v>
      </c>
      <c r="AG13" s="83">
        <v>44879000</v>
      </c>
      <c r="AH13" s="83">
        <v>44135000</v>
      </c>
      <c r="AI13" s="83">
        <v>46203000</v>
      </c>
      <c r="AJ13" s="83">
        <v>60476000</v>
      </c>
      <c r="AK13" s="304">
        <f>SUM(AG13:AJ13)</f>
        <v>195693000</v>
      </c>
      <c r="AL13" s="83">
        <f>'1.Input IS Trend &amp; EPS'!AZ17</f>
        <v>54175000</v>
      </c>
      <c r="AM13" s="83">
        <f>'1.Input IS Trend &amp; EPS'!BA17</f>
        <v>51107000</v>
      </c>
      <c r="AN13" s="83">
        <f>'1.Input IS Trend &amp; EPS'!BB17</f>
        <v>50863000</v>
      </c>
      <c r="AO13" s="83">
        <f>'1.Input IS Trend &amp; EPS'!BC17</f>
        <v>0</v>
      </c>
      <c r="AP13" s="304">
        <f>SUM(AL13:AO13)</f>
        <v>156145000</v>
      </c>
    </row>
    <row r="14" spans="1:42" ht="16.649999999999999" customHeight="1" x14ac:dyDescent="0.25">
      <c r="A14" s="303" t="s">
        <v>187</v>
      </c>
      <c r="B14" s="304">
        <v>92898000</v>
      </c>
      <c r="C14" s="83">
        <v>23587000</v>
      </c>
      <c r="D14" s="83">
        <v>23724000</v>
      </c>
      <c r="E14" s="83">
        <v>20929000</v>
      </c>
      <c r="F14" s="83">
        <v>16914000</v>
      </c>
      <c r="G14" s="304">
        <v>85154000</v>
      </c>
      <c r="H14" s="83">
        <v>18125000</v>
      </c>
      <c r="I14" s="83">
        <v>25176000</v>
      </c>
      <c r="J14" s="83">
        <v>27828000</v>
      </c>
      <c r="K14" s="83">
        <v>27749000</v>
      </c>
      <c r="L14" s="304">
        <v>98878000</v>
      </c>
      <c r="M14" s="83">
        <v>25318000</v>
      </c>
      <c r="N14" s="83">
        <v>27262000</v>
      </c>
      <c r="O14" s="83">
        <v>26107000</v>
      </c>
      <c r="P14" s="83">
        <v>30216000</v>
      </c>
      <c r="Q14" s="304">
        <f>SUM(M14:P14)</f>
        <v>108903000</v>
      </c>
      <c r="R14" s="83">
        <v>23368000</v>
      </c>
      <c r="S14" s="83">
        <v>24495000</v>
      </c>
      <c r="T14" s="83">
        <v>23943000</v>
      </c>
      <c r="U14" s="83">
        <v>32395000</v>
      </c>
      <c r="V14" s="304">
        <f>SUM(R14:U14)</f>
        <v>104201000</v>
      </c>
      <c r="W14" s="83">
        <v>24291000</v>
      </c>
      <c r="X14" s="83">
        <v>23078000</v>
      </c>
      <c r="Y14" s="83">
        <v>27639000</v>
      </c>
      <c r="Z14" s="83">
        <v>29583000</v>
      </c>
      <c r="AA14" s="304">
        <f>SUM(W14:Z14)</f>
        <v>104591000</v>
      </c>
      <c r="AB14" s="83">
        <v>27144000</v>
      </c>
      <c r="AC14" s="83">
        <v>28718000</v>
      </c>
      <c r="AD14" s="83">
        <v>36657000</v>
      </c>
      <c r="AE14" s="83">
        <v>32832000</v>
      </c>
      <c r="AF14" s="304">
        <f>SUM(AB14:AE14)</f>
        <v>125351000</v>
      </c>
      <c r="AG14" s="83">
        <v>26664000</v>
      </c>
      <c r="AH14" s="83">
        <v>26009000</v>
      </c>
      <c r="AI14" s="83">
        <v>27241000</v>
      </c>
      <c r="AJ14" s="83">
        <v>30252000</v>
      </c>
      <c r="AK14" s="304">
        <f>SUM(AG14:AJ14)</f>
        <v>110166000</v>
      </c>
      <c r="AL14" s="83">
        <f>'1.Input IS Trend &amp; EPS'!AZ18</f>
        <v>30961000</v>
      </c>
      <c r="AM14" s="83">
        <f>'1.Input IS Trend &amp; EPS'!BA18</f>
        <v>31369000</v>
      </c>
      <c r="AN14" s="83">
        <f>'1.Input IS Trend &amp; EPS'!BB18</f>
        <v>31994000</v>
      </c>
      <c r="AO14" s="83">
        <f>'1.Input IS Trend &amp; EPS'!BC18</f>
        <v>0</v>
      </c>
      <c r="AP14" s="304">
        <f>SUM(AL14:AO14)</f>
        <v>94324000</v>
      </c>
    </row>
    <row r="15" spans="1:42" ht="16.649999999999999" customHeight="1" x14ac:dyDescent="0.25">
      <c r="A15" s="305" t="s">
        <v>188</v>
      </c>
      <c r="B15" s="297">
        <v>4673000</v>
      </c>
      <c r="C15" s="255">
        <v>-3000</v>
      </c>
      <c r="D15" s="255">
        <v>2833000</v>
      </c>
      <c r="E15" s="255">
        <v>-788000</v>
      </c>
      <c r="F15" s="255">
        <v>681000</v>
      </c>
      <c r="G15" s="297">
        <v>2723000</v>
      </c>
      <c r="H15" s="255">
        <v>1000</v>
      </c>
      <c r="I15" s="255">
        <v>489000</v>
      </c>
      <c r="J15" s="255">
        <v>5043000</v>
      </c>
      <c r="K15" s="255">
        <v>14400000</v>
      </c>
      <c r="L15" s="297">
        <v>19933000</v>
      </c>
      <c r="M15" s="255">
        <v>2276000</v>
      </c>
      <c r="N15" s="255">
        <v>45000</v>
      </c>
      <c r="O15" s="255">
        <v>233000</v>
      </c>
      <c r="P15" s="255">
        <v>2447000</v>
      </c>
      <c r="Q15" s="297">
        <f>SUM(M15:P15)</f>
        <v>5001000</v>
      </c>
      <c r="R15" s="255">
        <v>1995000</v>
      </c>
      <c r="S15" s="255">
        <v>-619000</v>
      </c>
      <c r="T15" s="255">
        <v>-6000</v>
      </c>
      <c r="U15" s="255">
        <v>1345000</v>
      </c>
      <c r="V15" s="297">
        <f>SUM(R15:U15)</f>
        <v>2715000</v>
      </c>
      <c r="W15" s="255">
        <v>1278000</v>
      </c>
      <c r="X15" s="255">
        <v>18000</v>
      </c>
      <c r="Y15" s="255">
        <v>0</v>
      </c>
      <c r="Z15" s="255">
        <v>183000</v>
      </c>
      <c r="AA15" s="297">
        <f>SUM(W15:Z15)</f>
        <v>1479000</v>
      </c>
      <c r="AB15" s="255">
        <v>739000</v>
      </c>
      <c r="AC15" s="255">
        <v>13111000</v>
      </c>
      <c r="AD15" s="255">
        <v>11743000</v>
      </c>
      <c r="AE15" s="255">
        <v>9723000</v>
      </c>
      <c r="AF15" s="297">
        <f>SUM(AB15:AE15)</f>
        <v>35316000</v>
      </c>
      <c r="AG15" s="255">
        <v>116000</v>
      </c>
      <c r="AH15" s="255">
        <v>6574000</v>
      </c>
      <c r="AI15" s="255">
        <v>2502000</v>
      </c>
      <c r="AJ15" s="255">
        <v>2516000</v>
      </c>
      <c r="AK15" s="297">
        <f>SUM(AG15:AJ15)</f>
        <v>11708000</v>
      </c>
      <c r="AL15" s="255">
        <f>'1.Input IS Trend &amp; EPS'!AZ19</f>
        <v>206000</v>
      </c>
      <c r="AM15" s="255">
        <f>'1.Input IS Trend &amp; EPS'!BA19</f>
        <v>397000</v>
      </c>
      <c r="AN15" s="255">
        <f>'1.Input IS Trend &amp; EPS'!BB19</f>
        <v>149000</v>
      </c>
      <c r="AO15" s="255">
        <f>'1.Input IS Trend &amp; EPS'!BC19</f>
        <v>0</v>
      </c>
      <c r="AP15" s="297">
        <f>SUM(AL15:AO15)</f>
        <v>752000</v>
      </c>
    </row>
    <row r="16" spans="1:42" ht="16.649999999999999" customHeight="1" x14ac:dyDescent="0.25">
      <c r="A16" s="50" t="s">
        <v>189</v>
      </c>
      <c r="B16" s="299">
        <f t="shared" ref="B16:AP16" si="2">SUM(B12:B15)</f>
        <v>206196000</v>
      </c>
      <c r="C16" s="258">
        <f t="shared" si="2"/>
        <v>62515000</v>
      </c>
      <c r="D16" s="258">
        <f t="shared" si="2"/>
        <v>68137000</v>
      </c>
      <c r="E16" s="258">
        <f t="shared" si="2"/>
        <v>62284000</v>
      </c>
      <c r="F16" s="258">
        <f t="shared" si="2"/>
        <v>64293000</v>
      </c>
      <c r="G16" s="299">
        <f t="shared" si="2"/>
        <v>257229000</v>
      </c>
      <c r="H16" s="258">
        <f t="shared" si="2"/>
        <v>68419000</v>
      </c>
      <c r="I16" s="258">
        <f t="shared" si="2"/>
        <v>78545000</v>
      </c>
      <c r="J16" s="258">
        <f t="shared" si="2"/>
        <v>93394000</v>
      </c>
      <c r="K16" s="258">
        <f t="shared" si="2"/>
        <v>122690000</v>
      </c>
      <c r="L16" s="299">
        <f t="shared" si="2"/>
        <v>363048000</v>
      </c>
      <c r="M16" s="258">
        <f t="shared" si="2"/>
        <v>94460000</v>
      </c>
      <c r="N16" s="258">
        <f t="shared" si="2"/>
        <v>98956000</v>
      </c>
      <c r="O16" s="258">
        <f t="shared" si="2"/>
        <v>105736000</v>
      </c>
      <c r="P16" s="258">
        <f t="shared" si="2"/>
        <v>109638000</v>
      </c>
      <c r="Q16" s="299">
        <f t="shared" si="2"/>
        <v>408790000</v>
      </c>
      <c r="R16" s="258">
        <f t="shared" si="2"/>
        <v>90979000</v>
      </c>
      <c r="S16" s="258">
        <f t="shared" si="2"/>
        <v>96616000</v>
      </c>
      <c r="T16" s="258">
        <f t="shared" si="2"/>
        <v>98449000</v>
      </c>
      <c r="U16" s="258">
        <f t="shared" si="2"/>
        <v>133526000</v>
      </c>
      <c r="V16" s="299">
        <f t="shared" si="2"/>
        <v>419570000</v>
      </c>
      <c r="W16" s="258">
        <f t="shared" si="2"/>
        <v>102324000</v>
      </c>
      <c r="X16" s="258">
        <f t="shared" si="2"/>
        <v>98393000</v>
      </c>
      <c r="Y16" s="258">
        <f t="shared" si="2"/>
        <v>115833000</v>
      </c>
      <c r="Z16" s="258">
        <f t="shared" si="2"/>
        <v>130218000</v>
      </c>
      <c r="AA16" s="299">
        <f t="shared" si="2"/>
        <v>446768000</v>
      </c>
      <c r="AB16" s="258">
        <f t="shared" si="2"/>
        <v>126824000</v>
      </c>
      <c r="AC16" s="258">
        <f t="shared" si="2"/>
        <v>133917000</v>
      </c>
      <c r="AD16" s="258">
        <f t="shared" si="2"/>
        <v>139277000</v>
      </c>
      <c r="AE16" s="258">
        <f t="shared" si="2"/>
        <v>152281000</v>
      </c>
      <c r="AF16" s="299">
        <f t="shared" si="2"/>
        <v>552299000</v>
      </c>
      <c r="AG16" s="258">
        <f t="shared" si="2"/>
        <v>106178000</v>
      </c>
      <c r="AH16" s="258">
        <f t="shared" si="2"/>
        <v>110451000</v>
      </c>
      <c r="AI16" s="258">
        <f t="shared" si="2"/>
        <v>113734000</v>
      </c>
      <c r="AJ16" s="258">
        <f t="shared" si="2"/>
        <v>138405000</v>
      </c>
      <c r="AK16" s="299">
        <f t="shared" si="2"/>
        <v>468768000</v>
      </c>
      <c r="AL16" s="258">
        <f t="shared" si="2"/>
        <v>129460000</v>
      </c>
      <c r="AM16" s="258">
        <f t="shared" si="2"/>
        <v>126762000</v>
      </c>
      <c r="AN16" s="258">
        <f t="shared" si="2"/>
        <v>125741000</v>
      </c>
      <c r="AO16" s="258">
        <f t="shared" si="2"/>
        <v>0</v>
      </c>
      <c r="AP16" s="299">
        <f t="shared" si="2"/>
        <v>381963000</v>
      </c>
    </row>
    <row r="17" spans="1:42" ht="16.649999999999999" customHeight="1" x14ac:dyDescent="0.25">
      <c r="B17" s="319"/>
      <c r="G17" s="319"/>
      <c r="L17" s="319"/>
      <c r="Q17" s="319"/>
      <c r="V17" s="319"/>
      <c r="AA17" s="319"/>
      <c r="AF17" s="319"/>
      <c r="AK17" s="319"/>
      <c r="AP17" s="319"/>
    </row>
    <row r="18" spans="1:42" ht="16.649999999999999" customHeight="1" x14ac:dyDescent="0.25">
      <c r="A18" s="1" t="s">
        <v>413</v>
      </c>
      <c r="B18" s="304">
        <f t="shared" ref="B18:AP18" si="3">+B8-B16</f>
        <v>-131412000</v>
      </c>
      <c r="C18" s="83">
        <f t="shared" si="3"/>
        <v>-39819000</v>
      </c>
      <c r="D18" s="83">
        <f t="shared" si="3"/>
        <v>-38133000</v>
      </c>
      <c r="E18" s="83">
        <f t="shared" si="3"/>
        <v>-27689000</v>
      </c>
      <c r="F18" s="83">
        <f t="shared" si="3"/>
        <v>-27883000</v>
      </c>
      <c r="G18" s="304">
        <f t="shared" si="3"/>
        <v>-133524000</v>
      </c>
      <c r="H18" s="83">
        <f t="shared" si="3"/>
        <v>-29602000</v>
      </c>
      <c r="I18" s="83">
        <f t="shared" si="3"/>
        <v>-38199000</v>
      </c>
      <c r="J18" s="83">
        <f t="shared" si="3"/>
        <v>-48211000</v>
      </c>
      <c r="K18" s="83">
        <f t="shared" si="3"/>
        <v>-82134000</v>
      </c>
      <c r="L18" s="304">
        <f t="shared" si="3"/>
        <v>-198146000</v>
      </c>
      <c r="M18" s="83">
        <f t="shared" si="3"/>
        <v>-48375000</v>
      </c>
      <c r="N18" s="83">
        <f t="shared" si="3"/>
        <v>-50273000</v>
      </c>
      <c r="O18" s="83">
        <f t="shared" si="3"/>
        <v>-41485000</v>
      </c>
      <c r="P18" s="83">
        <f t="shared" si="3"/>
        <v>-40789000</v>
      </c>
      <c r="Q18" s="304">
        <f t="shared" si="3"/>
        <v>-180922000</v>
      </c>
      <c r="R18" s="83">
        <f t="shared" si="3"/>
        <v>-26007000</v>
      </c>
      <c r="S18" s="83">
        <f t="shared" si="3"/>
        <v>-26852000</v>
      </c>
      <c r="T18" s="83">
        <f t="shared" si="3"/>
        <v>-15781000</v>
      </c>
      <c r="U18" s="83">
        <f t="shared" si="3"/>
        <v>-51908000</v>
      </c>
      <c r="V18" s="304">
        <f t="shared" si="3"/>
        <v>-120548000</v>
      </c>
      <c r="W18" s="83">
        <f t="shared" si="3"/>
        <v>-17601000</v>
      </c>
      <c r="X18" s="83">
        <f t="shared" si="3"/>
        <v>-6182000</v>
      </c>
      <c r="Y18" s="83">
        <f t="shared" si="3"/>
        <v>-13786000</v>
      </c>
      <c r="Z18" s="83">
        <f t="shared" si="3"/>
        <v>-27969000</v>
      </c>
      <c r="AA18" s="304">
        <f t="shared" si="3"/>
        <v>-65538000</v>
      </c>
      <c r="AB18" s="83">
        <f t="shared" si="3"/>
        <v>-25602000</v>
      </c>
      <c r="AC18" s="83">
        <f t="shared" si="3"/>
        <v>-29122000</v>
      </c>
      <c r="AD18" s="83">
        <f t="shared" si="3"/>
        <v>-23949000</v>
      </c>
      <c r="AE18" s="83">
        <f t="shared" si="3"/>
        <v>-47127000</v>
      </c>
      <c r="AF18" s="304">
        <f t="shared" si="3"/>
        <v>-125800000</v>
      </c>
      <c r="AG18" s="83">
        <f t="shared" si="3"/>
        <v>2270000</v>
      </c>
      <c r="AH18" s="83">
        <f t="shared" si="3"/>
        <v>8208000</v>
      </c>
      <c r="AI18" s="83">
        <f t="shared" si="3"/>
        <v>15201000</v>
      </c>
      <c r="AJ18" s="83">
        <f t="shared" si="3"/>
        <v>-14275000</v>
      </c>
      <c r="AK18" s="304">
        <f t="shared" si="3"/>
        <v>11404000</v>
      </c>
      <c r="AL18" s="83">
        <f t="shared" si="3"/>
        <v>-5248000</v>
      </c>
      <c r="AM18" s="83">
        <f t="shared" si="3"/>
        <v>7487000</v>
      </c>
      <c r="AN18" s="83">
        <f t="shared" si="3"/>
        <v>14673000</v>
      </c>
      <c r="AO18" s="83">
        <f t="shared" si="3"/>
        <v>0</v>
      </c>
      <c r="AP18" s="304">
        <f t="shared" si="3"/>
        <v>16912000</v>
      </c>
    </row>
    <row r="19" spans="1:42" ht="16.649999999999999" customHeight="1" x14ac:dyDescent="0.3">
      <c r="A19" s="300" t="s">
        <v>433</v>
      </c>
      <c r="B19" s="301">
        <f t="shared" ref="B19:AK19" si="4">+B18/B5</f>
        <v>-0.75195696955825131</v>
      </c>
      <c r="C19" s="302">
        <f t="shared" si="4"/>
        <v>-0.85161580084265454</v>
      </c>
      <c r="D19" s="302">
        <f t="shared" si="4"/>
        <v>-0.70599670449706553</v>
      </c>
      <c r="E19" s="302">
        <f t="shared" si="4"/>
        <v>-0.46834458145159924</v>
      </c>
      <c r="F19" s="302">
        <f t="shared" si="4"/>
        <v>-0.46309583125726622</v>
      </c>
      <c r="G19" s="301">
        <f t="shared" si="4"/>
        <v>-0.60664876579388549</v>
      </c>
      <c r="H19" s="302">
        <f t="shared" si="4"/>
        <v>-0.4738518672664116</v>
      </c>
      <c r="I19" s="302">
        <f t="shared" si="4"/>
        <v>-0.58938159600074058</v>
      </c>
      <c r="J19" s="302">
        <f t="shared" si="4"/>
        <v>-0.60247934917084267</v>
      </c>
      <c r="K19" s="302">
        <f t="shared" si="4"/>
        <v>-1.0487512130343735</v>
      </c>
      <c r="L19" s="301">
        <f t="shared" si="4"/>
        <v>-0.69373993417827884</v>
      </c>
      <c r="M19" s="302">
        <f t="shared" si="4"/>
        <v>-0.58628546496830725</v>
      </c>
      <c r="N19" s="302">
        <f t="shared" si="4"/>
        <v>-0.55770276116836581</v>
      </c>
      <c r="O19" s="302">
        <f t="shared" si="4"/>
        <v>-0.40585225549566117</v>
      </c>
      <c r="P19" s="302">
        <f t="shared" si="4"/>
        <v>-0.38589038892725708</v>
      </c>
      <c r="Q19" s="301">
        <f t="shared" si="4"/>
        <v>-0.4753949318394417</v>
      </c>
      <c r="R19" s="302">
        <f t="shared" si="4"/>
        <v>-0.26154248418596698</v>
      </c>
      <c r="S19" s="302">
        <f t="shared" si="4"/>
        <v>-0.25656166098164551</v>
      </c>
      <c r="T19" s="302">
        <f t="shared" si="4"/>
        <v>-0.13177957963474818</v>
      </c>
      <c r="U19" s="302">
        <f t="shared" si="4"/>
        <v>-0.43556114956996012</v>
      </c>
      <c r="V19" s="301">
        <f t="shared" si="4"/>
        <v>-0.27210141165529789</v>
      </c>
      <c r="W19" s="302">
        <f t="shared" si="4"/>
        <v>-0.14786034711604698</v>
      </c>
      <c r="X19" s="302">
        <f t="shared" si="4"/>
        <v>-4.8566266006756224E-2</v>
      </c>
      <c r="Y19" s="302">
        <f t="shared" si="4"/>
        <v>-9.8048419675115933E-2</v>
      </c>
      <c r="Z19" s="302">
        <f t="shared" si="4"/>
        <v>-0.19734697477509261</v>
      </c>
      <c r="AA19" s="301">
        <f t="shared" si="4"/>
        <v>-0.12397074095301869</v>
      </c>
      <c r="AB19" s="302">
        <f t="shared" si="4"/>
        <v>-0.17998776741210465</v>
      </c>
      <c r="AC19" s="302">
        <f t="shared" si="4"/>
        <v>-0.19797551308982386</v>
      </c>
      <c r="AD19" s="302">
        <f t="shared" si="4"/>
        <v>-0.15098824196954891</v>
      </c>
      <c r="AE19" s="302">
        <f t="shared" si="4"/>
        <v>-0.31708449396471683</v>
      </c>
      <c r="AF19" s="301">
        <f t="shared" si="4"/>
        <v>-0.21086755740609436</v>
      </c>
      <c r="AG19" s="302">
        <f t="shared" si="4"/>
        <v>1.4733658295958305E-2</v>
      </c>
      <c r="AH19" s="302">
        <f t="shared" si="4"/>
        <v>5.1341393998911619E-2</v>
      </c>
      <c r="AI19" s="302">
        <f t="shared" si="4"/>
        <v>8.7427891113424472E-2</v>
      </c>
      <c r="AJ19" s="302">
        <f t="shared" si="4"/>
        <v>-8.3065661150292111E-2</v>
      </c>
      <c r="AK19" s="301">
        <f t="shared" si="4"/>
        <v>1.7287667453434415E-2</v>
      </c>
      <c r="AL19" s="302">
        <f>IFERROR(+AL18/AL5,0)</f>
        <v>-2.9824790720671058E-2</v>
      </c>
      <c r="AM19" s="302">
        <f>IFERROR(+AM18/AM5,0)</f>
        <v>4.0364885191634815E-2</v>
      </c>
      <c r="AN19" s="302">
        <f>IFERROR(+AN18/AN5,0)</f>
        <v>7.5087507420219843E-2</v>
      </c>
      <c r="AO19" s="302">
        <f>IFERROR(+AO18/AO5,0)</f>
        <v>0</v>
      </c>
      <c r="AP19" s="301">
        <f>+AP18/AP5</f>
        <v>3.0370508713204132E-2</v>
      </c>
    </row>
    <row r="20" spans="1:42" ht="16.649999999999999" customHeight="1" x14ac:dyDescent="0.25">
      <c r="B20" s="319"/>
      <c r="G20" s="319"/>
      <c r="L20" s="319"/>
      <c r="Q20" s="319"/>
      <c r="V20" s="319"/>
      <c r="AA20" s="319"/>
      <c r="AF20" s="319"/>
      <c r="AK20" s="319"/>
      <c r="AP20" s="319"/>
    </row>
    <row r="21" spans="1:42" ht="16.649999999999999" customHeight="1" x14ac:dyDescent="0.25">
      <c r="A21" s="293" t="s">
        <v>434</v>
      </c>
      <c r="B21" s="297">
        <v>652000</v>
      </c>
      <c r="C21" s="255">
        <v>-580000</v>
      </c>
      <c r="D21" s="255">
        <v>263000</v>
      </c>
      <c r="E21" s="255">
        <v>432000</v>
      </c>
      <c r="F21" s="255">
        <v>387000</v>
      </c>
      <c r="G21" s="297">
        <v>502000</v>
      </c>
      <c r="H21" s="255">
        <v>356000</v>
      </c>
      <c r="I21" s="255">
        <v>-281000</v>
      </c>
      <c r="J21" s="255">
        <v>10404000</v>
      </c>
      <c r="K21" s="255">
        <v>8311000</v>
      </c>
      <c r="L21" s="297">
        <v>18790000</v>
      </c>
      <c r="M21" s="255">
        <v>5882000</v>
      </c>
      <c r="N21" s="255">
        <v>4780000</v>
      </c>
      <c r="O21" s="255">
        <v>3158000</v>
      </c>
      <c r="P21" s="255">
        <v>1565000</v>
      </c>
      <c r="Q21" s="297">
        <f>SUM(M21:P21)</f>
        <v>15385000</v>
      </c>
      <c r="R21" s="255">
        <v>463000</v>
      </c>
      <c r="S21" s="255">
        <v>-225000</v>
      </c>
      <c r="T21" s="255">
        <v>-86000</v>
      </c>
      <c r="U21" s="255">
        <v>-404000</v>
      </c>
      <c r="V21" s="297">
        <f>SUM(R21:U21)</f>
        <v>-252000</v>
      </c>
      <c r="W21" s="255">
        <v>30601000</v>
      </c>
      <c r="X21" s="255">
        <v>150000</v>
      </c>
      <c r="Y21" s="255">
        <v>-241000</v>
      </c>
      <c r="Z21" s="255">
        <v>-47000</v>
      </c>
      <c r="AA21" s="297">
        <f>SUM(W21:Z21)</f>
        <v>30463000</v>
      </c>
      <c r="AB21" s="255">
        <v>699000</v>
      </c>
      <c r="AC21" s="255">
        <v>2248000</v>
      </c>
      <c r="AD21" s="255">
        <v>-736000</v>
      </c>
      <c r="AE21" s="255">
        <v>4735000</v>
      </c>
      <c r="AF21" s="297">
        <f>SUM(AB21:AE21)</f>
        <v>6946000</v>
      </c>
      <c r="AG21" s="255">
        <v>4849000</v>
      </c>
      <c r="AH21" s="255">
        <v>6431000</v>
      </c>
      <c r="AI21" s="255">
        <v>6607000</v>
      </c>
      <c r="AJ21" s="255">
        <v>5070000</v>
      </c>
      <c r="AK21" s="297">
        <f>SUM(AG21:AJ21)</f>
        <v>22957000</v>
      </c>
      <c r="AL21" s="255">
        <f>'1.Input IS Trend &amp; EPS'!AZ26</f>
        <v>4444000</v>
      </c>
      <c r="AM21" s="255">
        <f>'1.Input IS Trend &amp; EPS'!BA26</f>
        <v>4197000</v>
      </c>
      <c r="AN21" s="255">
        <f>'1.Input IS Trend &amp; EPS'!BB26</f>
        <v>4033000</v>
      </c>
      <c r="AO21" s="255">
        <f>'1.Input IS Trend &amp; EPS'!BC26</f>
        <v>0</v>
      </c>
      <c r="AP21" s="297">
        <f>SUM(AL21:AO21)</f>
        <v>12674000</v>
      </c>
    </row>
    <row r="22" spans="1:42" ht="16.649999999999999" customHeight="1" x14ac:dyDescent="0.25">
      <c r="A22" s="50"/>
      <c r="B22" s="189"/>
      <c r="C22" s="50"/>
      <c r="D22" s="50"/>
      <c r="E22" s="50"/>
      <c r="F22" s="50"/>
      <c r="G22" s="189"/>
      <c r="H22" s="50"/>
      <c r="I22" s="50"/>
      <c r="J22" s="50"/>
      <c r="K22" s="50"/>
      <c r="L22" s="189"/>
      <c r="M22" s="50"/>
      <c r="N22" s="50"/>
      <c r="O22" s="50"/>
      <c r="P22" s="50"/>
      <c r="Q22" s="189"/>
      <c r="R22" s="50"/>
      <c r="S22" s="50"/>
      <c r="T22" s="50"/>
      <c r="U22" s="50"/>
      <c r="V22" s="189"/>
      <c r="W22" s="50"/>
      <c r="X22" s="50"/>
      <c r="Y22" s="50"/>
      <c r="Z22" s="50"/>
      <c r="AA22" s="189"/>
      <c r="AB22" s="50"/>
      <c r="AC22" s="50"/>
      <c r="AD22" s="50"/>
      <c r="AE22" s="50"/>
      <c r="AF22" s="189"/>
      <c r="AG22" s="50"/>
      <c r="AH22" s="50"/>
      <c r="AI22" s="50"/>
      <c r="AJ22" s="50"/>
      <c r="AK22" s="189"/>
      <c r="AL22" s="50"/>
      <c r="AM22" s="50"/>
      <c r="AN22" s="50"/>
      <c r="AO22" s="50"/>
      <c r="AP22" s="189"/>
    </row>
    <row r="23" spans="1:42" ht="27.5" customHeight="1" x14ac:dyDescent="0.25">
      <c r="A23" s="1" t="s">
        <v>435</v>
      </c>
      <c r="B23" s="304">
        <f t="shared" ref="B23:AP23" si="5">+B18+B21</f>
        <v>-130760000</v>
      </c>
      <c r="C23" s="83">
        <f t="shared" si="5"/>
        <v>-40399000</v>
      </c>
      <c r="D23" s="83">
        <f t="shared" si="5"/>
        <v>-37870000</v>
      </c>
      <c r="E23" s="83">
        <f t="shared" si="5"/>
        <v>-27257000</v>
      </c>
      <c r="F23" s="83">
        <f t="shared" si="5"/>
        <v>-27496000</v>
      </c>
      <c r="G23" s="304">
        <f t="shared" si="5"/>
        <v>-133022000</v>
      </c>
      <c r="H23" s="83">
        <f t="shared" si="5"/>
        <v>-29246000</v>
      </c>
      <c r="I23" s="83">
        <f t="shared" si="5"/>
        <v>-38480000</v>
      </c>
      <c r="J23" s="83">
        <f t="shared" si="5"/>
        <v>-37807000</v>
      </c>
      <c r="K23" s="83">
        <f t="shared" si="5"/>
        <v>-73823000</v>
      </c>
      <c r="L23" s="304">
        <f t="shared" si="5"/>
        <v>-179356000</v>
      </c>
      <c r="M23" s="83">
        <f t="shared" si="5"/>
        <v>-42493000</v>
      </c>
      <c r="N23" s="83">
        <f t="shared" si="5"/>
        <v>-45493000</v>
      </c>
      <c r="O23" s="83">
        <f t="shared" si="5"/>
        <v>-38327000</v>
      </c>
      <c r="P23" s="83">
        <f t="shared" si="5"/>
        <v>-39224000</v>
      </c>
      <c r="Q23" s="304">
        <f t="shared" si="5"/>
        <v>-165537000</v>
      </c>
      <c r="R23" s="83">
        <f t="shared" si="5"/>
        <v>-25544000</v>
      </c>
      <c r="S23" s="83">
        <f t="shared" si="5"/>
        <v>-27077000</v>
      </c>
      <c r="T23" s="83">
        <f t="shared" si="5"/>
        <v>-15867000</v>
      </c>
      <c r="U23" s="83">
        <f t="shared" si="5"/>
        <v>-52312000</v>
      </c>
      <c r="V23" s="304">
        <f t="shared" si="5"/>
        <v>-120800000</v>
      </c>
      <c r="W23" s="83">
        <f t="shared" si="5"/>
        <v>13000000</v>
      </c>
      <c r="X23" s="83">
        <f t="shared" si="5"/>
        <v>-6032000</v>
      </c>
      <c r="Y23" s="83">
        <f t="shared" si="5"/>
        <v>-14027000</v>
      </c>
      <c r="Z23" s="83">
        <f t="shared" si="5"/>
        <v>-28016000</v>
      </c>
      <c r="AA23" s="304">
        <f t="shared" si="5"/>
        <v>-35075000</v>
      </c>
      <c r="AB23" s="83">
        <f t="shared" si="5"/>
        <v>-24903000</v>
      </c>
      <c r="AC23" s="83">
        <f t="shared" si="5"/>
        <v>-26874000</v>
      </c>
      <c r="AD23" s="83">
        <f t="shared" si="5"/>
        <v>-24685000</v>
      </c>
      <c r="AE23" s="83">
        <f t="shared" si="5"/>
        <v>-42392000</v>
      </c>
      <c r="AF23" s="304">
        <f t="shared" si="5"/>
        <v>-118854000</v>
      </c>
      <c r="AG23" s="83">
        <f t="shared" si="5"/>
        <v>7119000</v>
      </c>
      <c r="AH23" s="83">
        <f t="shared" si="5"/>
        <v>14639000</v>
      </c>
      <c r="AI23" s="83">
        <f t="shared" si="5"/>
        <v>21808000</v>
      </c>
      <c r="AJ23" s="83">
        <f t="shared" si="5"/>
        <v>-9205000</v>
      </c>
      <c r="AK23" s="304">
        <f t="shared" si="5"/>
        <v>34361000</v>
      </c>
      <c r="AL23" s="83">
        <f t="shared" si="5"/>
        <v>-804000</v>
      </c>
      <c r="AM23" s="83">
        <f t="shared" si="5"/>
        <v>11684000</v>
      </c>
      <c r="AN23" s="83">
        <f t="shared" si="5"/>
        <v>18706000</v>
      </c>
      <c r="AO23" s="83">
        <f t="shared" si="5"/>
        <v>0</v>
      </c>
      <c r="AP23" s="304">
        <f t="shared" si="5"/>
        <v>29586000</v>
      </c>
    </row>
    <row r="24" spans="1:42" ht="16.649999999999999" customHeight="1" x14ac:dyDescent="0.25">
      <c r="B24" s="319"/>
      <c r="G24" s="319"/>
      <c r="L24" s="319"/>
      <c r="Q24" s="319"/>
      <c r="V24" s="319"/>
      <c r="AA24" s="319"/>
      <c r="AF24" s="319"/>
      <c r="AK24" s="319"/>
      <c r="AP24" s="319"/>
    </row>
    <row r="25" spans="1:42" ht="16.649999999999999" customHeight="1" x14ac:dyDescent="0.25">
      <c r="A25" s="293" t="s">
        <v>436</v>
      </c>
      <c r="B25" s="297">
        <v>-45184000</v>
      </c>
      <c r="C25" s="255">
        <v>-14184000</v>
      </c>
      <c r="D25" s="255">
        <v>-12679000</v>
      </c>
      <c r="E25" s="255">
        <v>-30374000</v>
      </c>
      <c r="F25" s="255">
        <v>-8486000</v>
      </c>
      <c r="G25" s="297">
        <v>-65723000</v>
      </c>
      <c r="H25" s="255">
        <v>-1428000</v>
      </c>
      <c r="I25" s="255">
        <v>2700000</v>
      </c>
      <c r="J25" s="255">
        <v>-22546000</v>
      </c>
      <c r="K25" s="255">
        <v>-24135000</v>
      </c>
      <c r="L25" s="297">
        <v>-45409000</v>
      </c>
      <c r="M25" s="255">
        <v>-353000</v>
      </c>
      <c r="N25" s="255">
        <v>-5291000</v>
      </c>
      <c r="O25" s="255">
        <v>-287000</v>
      </c>
      <c r="P25" s="255">
        <v>-34345000</v>
      </c>
      <c r="Q25" s="297">
        <f>SUM(M25:P25)</f>
        <v>-40276000</v>
      </c>
      <c r="R25" s="255">
        <v>-3816000</v>
      </c>
      <c r="S25" s="255">
        <v>-3109000</v>
      </c>
      <c r="T25" s="255">
        <v>-4142000</v>
      </c>
      <c r="U25" s="255">
        <v>-19465000</v>
      </c>
      <c r="V25" s="297">
        <f>SUM(R25:U25)</f>
        <v>-30532000</v>
      </c>
      <c r="W25" s="255">
        <v>-4365000</v>
      </c>
      <c r="X25" s="255">
        <v>399000</v>
      </c>
      <c r="Y25" s="255">
        <v>1348000</v>
      </c>
      <c r="Z25" s="255">
        <v>1376000</v>
      </c>
      <c r="AA25" s="297">
        <f>SUM(W25:Z25)</f>
        <v>-1242000</v>
      </c>
      <c r="AB25" s="255">
        <v>2315000</v>
      </c>
      <c r="AC25" s="255">
        <v>3562000</v>
      </c>
      <c r="AD25" s="255">
        <v>5835000</v>
      </c>
      <c r="AE25" s="255">
        <v>-6460000</v>
      </c>
      <c r="AF25" s="297">
        <f>SUM(AB25:AE25)</f>
        <v>5252000</v>
      </c>
      <c r="AG25" s="255">
        <v>8705000</v>
      </c>
      <c r="AH25" s="255">
        <v>10163000</v>
      </c>
      <c r="AI25" s="255">
        <v>8429000</v>
      </c>
      <c r="AJ25" s="255">
        <v>-3027000</v>
      </c>
      <c r="AK25" s="297">
        <f>SUM(AG25:AJ25)</f>
        <v>24270000</v>
      </c>
      <c r="AL25" s="255">
        <f>'1.Input IS Trend &amp; EPS'!AZ29</f>
        <v>6685000</v>
      </c>
      <c r="AM25" s="255">
        <f>'1.Input IS Trend &amp; EPS'!BA29</f>
        <v>9952000</v>
      </c>
      <c r="AN25" s="255">
        <f>'1.Input IS Trend &amp; EPS'!BB29</f>
        <v>9184000</v>
      </c>
      <c r="AO25" s="255">
        <f>'1.Input IS Trend &amp; EPS'!BC29</f>
        <v>0</v>
      </c>
      <c r="AP25" s="297">
        <f>SUM(AL25:AO25)</f>
        <v>25821000</v>
      </c>
    </row>
    <row r="26" spans="1:42" ht="16.649999999999999" customHeight="1" x14ac:dyDescent="0.25">
      <c r="A26" s="50"/>
      <c r="B26" s="189"/>
      <c r="C26" s="50"/>
      <c r="D26" s="50"/>
      <c r="E26" s="50"/>
      <c r="F26" s="50"/>
      <c r="G26" s="189"/>
      <c r="H26" s="50"/>
      <c r="I26" s="50"/>
      <c r="J26" s="50"/>
      <c r="K26" s="50"/>
      <c r="L26" s="189"/>
      <c r="M26" s="50"/>
      <c r="N26" s="50"/>
      <c r="O26" s="50"/>
      <c r="P26" s="50"/>
      <c r="Q26" s="189"/>
      <c r="R26" s="50"/>
      <c r="S26" s="50"/>
      <c r="T26" s="50"/>
      <c r="U26" s="50"/>
      <c r="V26" s="189"/>
      <c r="W26" s="50"/>
      <c r="X26" s="50"/>
      <c r="Y26" s="50"/>
      <c r="Z26" s="50"/>
      <c r="AA26" s="189"/>
      <c r="AB26" s="50"/>
      <c r="AC26" s="50"/>
      <c r="AD26" s="50"/>
      <c r="AE26" s="50"/>
      <c r="AF26" s="189"/>
      <c r="AG26" s="50"/>
      <c r="AH26" s="50"/>
      <c r="AI26" s="50"/>
      <c r="AJ26" s="50"/>
      <c r="AK26" s="189"/>
      <c r="AL26" s="50"/>
      <c r="AM26" s="50"/>
      <c r="AN26" s="50"/>
      <c r="AO26" s="50"/>
      <c r="AP26" s="189"/>
    </row>
    <row r="27" spans="1:42" ht="27.5" customHeight="1" x14ac:dyDescent="0.25">
      <c r="A27" s="1" t="s">
        <v>437</v>
      </c>
      <c r="B27" s="304">
        <f t="shared" ref="B27:AP27" si="6">+B23-B25</f>
        <v>-85576000</v>
      </c>
      <c r="C27" s="83">
        <f t="shared" si="6"/>
        <v>-26215000</v>
      </c>
      <c r="D27" s="83">
        <f t="shared" si="6"/>
        <v>-25191000</v>
      </c>
      <c r="E27" s="83">
        <f t="shared" si="6"/>
        <v>3117000</v>
      </c>
      <c r="F27" s="83">
        <f t="shared" si="6"/>
        <v>-19010000</v>
      </c>
      <c r="G27" s="304">
        <f t="shared" si="6"/>
        <v>-67299000</v>
      </c>
      <c r="H27" s="83">
        <f t="shared" si="6"/>
        <v>-27818000</v>
      </c>
      <c r="I27" s="83">
        <f t="shared" si="6"/>
        <v>-41180000</v>
      </c>
      <c r="J27" s="83">
        <f t="shared" si="6"/>
        <v>-15261000</v>
      </c>
      <c r="K27" s="83">
        <f t="shared" si="6"/>
        <v>-49688000</v>
      </c>
      <c r="L27" s="304">
        <f t="shared" si="6"/>
        <v>-133947000</v>
      </c>
      <c r="M27" s="83">
        <f t="shared" si="6"/>
        <v>-42140000</v>
      </c>
      <c r="N27" s="83">
        <f t="shared" si="6"/>
        <v>-40202000</v>
      </c>
      <c r="O27" s="83">
        <f t="shared" si="6"/>
        <v>-38040000</v>
      </c>
      <c r="P27" s="83">
        <f t="shared" si="6"/>
        <v>-4879000</v>
      </c>
      <c r="Q27" s="304">
        <f t="shared" si="6"/>
        <v>-125261000</v>
      </c>
      <c r="R27" s="83">
        <f t="shared" si="6"/>
        <v>-21728000</v>
      </c>
      <c r="S27" s="83">
        <f t="shared" si="6"/>
        <v>-23968000</v>
      </c>
      <c r="T27" s="83">
        <f t="shared" si="6"/>
        <v>-11725000</v>
      </c>
      <c r="U27" s="83">
        <f t="shared" si="6"/>
        <v>-32847000</v>
      </c>
      <c r="V27" s="304">
        <f t="shared" si="6"/>
        <v>-90268000</v>
      </c>
      <c r="W27" s="83">
        <f t="shared" si="6"/>
        <v>17365000</v>
      </c>
      <c r="X27" s="83">
        <f t="shared" si="6"/>
        <v>-6431000</v>
      </c>
      <c r="Y27" s="83">
        <f t="shared" si="6"/>
        <v>-15375000</v>
      </c>
      <c r="Z27" s="83">
        <f t="shared" si="6"/>
        <v>-29392000</v>
      </c>
      <c r="AA27" s="304">
        <f t="shared" si="6"/>
        <v>-33833000</v>
      </c>
      <c r="AB27" s="83">
        <f t="shared" si="6"/>
        <v>-27218000</v>
      </c>
      <c r="AC27" s="83">
        <f t="shared" si="6"/>
        <v>-30436000</v>
      </c>
      <c r="AD27" s="83">
        <f t="shared" si="6"/>
        <v>-30520000</v>
      </c>
      <c r="AE27" s="83">
        <f t="shared" si="6"/>
        <v>-35932000</v>
      </c>
      <c r="AF27" s="304">
        <f t="shared" si="6"/>
        <v>-124106000</v>
      </c>
      <c r="AG27" s="83">
        <f t="shared" si="6"/>
        <v>-1586000</v>
      </c>
      <c r="AH27" s="83">
        <f t="shared" si="6"/>
        <v>4476000</v>
      </c>
      <c r="AI27" s="83">
        <f t="shared" si="6"/>
        <v>13379000</v>
      </c>
      <c r="AJ27" s="83">
        <f t="shared" si="6"/>
        <v>-6178000</v>
      </c>
      <c r="AK27" s="304">
        <f t="shared" si="6"/>
        <v>10091000</v>
      </c>
      <c r="AL27" s="83">
        <f t="shared" si="6"/>
        <v>-7489000</v>
      </c>
      <c r="AM27" s="83">
        <f t="shared" si="6"/>
        <v>1732000</v>
      </c>
      <c r="AN27" s="83">
        <f t="shared" si="6"/>
        <v>9522000</v>
      </c>
      <c r="AO27" s="83">
        <f t="shared" si="6"/>
        <v>0</v>
      </c>
      <c r="AP27" s="304">
        <f t="shared" si="6"/>
        <v>3765000</v>
      </c>
    </row>
    <row r="28" spans="1:42" ht="16.649999999999999" customHeight="1" x14ac:dyDescent="0.25">
      <c r="B28" s="319"/>
      <c r="G28" s="319"/>
      <c r="L28" s="319"/>
      <c r="Q28" s="319"/>
      <c r="V28" s="319"/>
      <c r="AA28" s="319"/>
      <c r="AF28" s="319"/>
      <c r="AK28" s="319"/>
      <c r="AP28" s="319"/>
    </row>
    <row r="29" spans="1:42" ht="27.5" customHeight="1" x14ac:dyDescent="0.25">
      <c r="A29" s="293" t="s">
        <v>193</v>
      </c>
      <c r="B29" s="297">
        <v>89684000</v>
      </c>
      <c r="C29" s="255">
        <v>24915000</v>
      </c>
      <c r="D29" s="255">
        <v>21855000</v>
      </c>
      <c r="E29" s="255">
        <v>19824000</v>
      </c>
      <c r="F29" s="255">
        <v>24185000</v>
      </c>
      <c r="G29" s="297">
        <v>90779000</v>
      </c>
      <c r="H29" s="255">
        <v>24803000</v>
      </c>
      <c r="I29" s="255">
        <v>61803000</v>
      </c>
      <c r="J29" s="255">
        <v>1071661000</v>
      </c>
      <c r="K29" s="255">
        <v>4227000</v>
      </c>
      <c r="L29" s="297">
        <v>1162494000</v>
      </c>
      <c r="M29" s="255">
        <v>0</v>
      </c>
      <c r="N29" s="255">
        <v>0</v>
      </c>
      <c r="O29" s="255">
        <v>0</v>
      </c>
      <c r="P29" s="255">
        <v>750000</v>
      </c>
      <c r="Q29" s="297">
        <f>SUM(M29:P29)</f>
        <v>750000</v>
      </c>
      <c r="R29" s="255">
        <v>0</v>
      </c>
      <c r="S29" s="255">
        <v>0</v>
      </c>
      <c r="T29" s="255">
        <v>0</v>
      </c>
      <c r="U29" s="255">
        <v>0</v>
      </c>
      <c r="V29" s="297">
        <f>SUM(R29:U29)</f>
        <v>0</v>
      </c>
      <c r="W29" s="255">
        <v>0</v>
      </c>
      <c r="X29" s="255">
        <v>0</v>
      </c>
      <c r="Y29" s="255">
        <v>0</v>
      </c>
      <c r="Z29" s="255">
        <v>0</v>
      </c>
      <c r="AA29" s="297">
        <f>SUM(W29:Z29)</f>
        <v>0</v>
      </c>
      <c r="AB29" s="255">
        <v>0</v>
      </c>
      <c r="AC29" s="255">
        <v>0</v>
      </c>
      <c r="AD29" s="255">
        <v>836000</v>
      </c>
      <c r="AE29" s="255">
        <v>4568000</v>
      </c>
      <c r="AF29" s="297">
        <f>SUM(AB29:AE29)</f>
        <v>5404000</v>
      </c>
      <c r="AG29" s="255">
        <v>0</v>
      </c>
      <c r="AH29" s="255">
        <v>387000</v>
      </c>
      <c r="AI29" s="255">
        <v>598000</v>
      </c>
      <c r="AJ29" s="255">
        <v>805000</v>
      </c>
      <c r="AK29" s="297">
        <f>SUM(AG29:AJ29)</f>
        <v>1790000</v>
      </c>
      <c r="AL29" s="255">
        <f>+'1.Input IS Trend &amp; EPS'!AZ32</f>
        <v>0</v>
      </c>
      <c r="AM29" s="255">
        <f>+'1.Input IS Trend &amp; EPS'!BA32</f>
        <v>0</v>
      </c>
      <c r="AN29" s="255">
        <f>+'1.Input IS Trend &amp; EPS'!BB32</f>
        <v>1688000</v>
      </c>
      <c r="AO29" s="255">
        <f>+'1.Input IS Trend &amp; EPS'!BC32</f>
        <v>0</v>
      </c>
      <c r="AP29" s="297">
        <f>SUM(AL29:AO29)</f>
        <v>1688000</v>
      </c>
    </row>
    <row r="30" spans="1:42" ht="16.649999999999999" customHeight="1" x14ac:dyDescent="0.25">
      <c r="A30" s="50"/>
      <c r="B30" s="189"/>
      <c r="C30" s="50"/>
      <c r="D30" s="50"/>
      <c r="E30" s="50"/>
      <c r="F30" s="50"/>
      <c r="G30" s="189"/>
      <c r="H30" s="50"/>
      <c r="I30" s="50"/>
      <c r="J30" s="50"/>
      <c r="K30" s="50"/>
      <c r="L30" s="189"/>
      <c r="M30" s="50"/>
      <c r="N30" s="50"/>
      <c r="O30" s="50"/>
      <c r="P30" s="50"/>
      <c r="Q30" s="189"/>
      <c r="R30" s="50"/>
      <c r="S30" s="50"/>
      <c r="T30" s="50"/>
      <c r="U30" s="50"/>
      <c r="V30" s="189"/>
      <c r="W30" s="50"/>
      <c r="X30" s="50"/>
      <c r="Y30" s="50"/>
      <c r="Z30" s="50"/>
      <c r="AA30" s="189"/>
      <c r="AB30" s="50"/>
      <c r="AC30" s="50"/>
      <c r="AD30" s="50"/>
      <c r="AE30" s="50"/>
      <c r="AF30" s="189"/>
      <c r="AG30" s="50"/>
      <c r="AH30" s="50"/>
      <c r="AI30" s="50"/>
      <c r="AJ30" s="50"/>
      <c r="AK30" s="189"/>
      <c r="AL30" s="50"/>
      <c r="AM30" s="50"/>
      <c r="AN30" s="50"/>
      <c r="AO30" s="50"/>
      <c r="AP30" s="189"/>
    </row>
    <row r="31" spans="1:42" ht="16.649999999999999" customHeight="1" x14ac:dyDescent="0.25">
      <c r="A31" s="306" t="s">
        <v>217</v>
      </c>
      <c r="B31" s="307">
        <f t="shared" ref="B31:AP31" si="7">+B27+B29</f>
        <v>4108000</v>
      </c>
      <c r="C31" s="308">
        <f t="shared" si="7"/>
        <v>-1300000</v>
      </c>
      <c r="D31" s="308">
        <f t="shared" si="7"/>
        <v>-3336000</v>
      </c>
      <c r="E31" s="308">
        <f t="shared" si="7"/>
        <v>22941000</v>
      </c>
      <c r="F31" s="308">
        <f t="shared" si="7"/>
        <v>5175000</v>
      </c>
      <c r="G31" s="307">
        <f t="shared" si="7"/>
        <v>23480000</v>
      </c>
      <c r="H31" s="308">
        <f t="shared" si="7"/>
        <v>-3015000</v>
      </c>
      <c r="I31" s="308">
        <f t="shared" si="7"/>
        <v>20623000</v>
      </c>
      <c r="J31" s="308">
        <f t="shared" si="7"/>
        <v>1056400000</v>
      </c>
      <c r="K31" s="308">
        <f t="shared" si="7"/>
        <v>-45461000</v>
      </c>
      <c r="L31" s="307">
        <f t="shared" si="7"/>
        <v>1028547000</v>
      </c>
      <c r="M31" s="308">
        <f t="shared" si="7"/>
        <v>-42140000</v>
      </c>
      <c r="N31" s="308">
        <f t="shared" si="7"/>
        <v>-40202000</v>
      </c>
      <c r="O31" s="308">
        <f t="shared" si="7"/>
        <v>-38040000</v>
      </c>
      <c r="P31" s="308">
        <f t="shared" si="7"/>
        <v>-4129000</v>
      </c>
      <c r="Q31" s="307">
        <f t="shared" si="7"/>
        <v>-124511000</v>
      </c>
      <c r="R31" s="308">
        <f t="shared" si="7"/>
        <v>-21728000</v>
      </c>
      <c r="S31" s="308">
        <f t="shared" si="7"/>
        <v>-23968000</v>
      </c>
      <c r="T31" s="308">
        <f t="shared" si="7"/>
        <v>-11725000</v>
      </c>
      <c r="U31" s="308">
        <f t="shared" si="7"/>
        <v>-32847000</v>
      </c>
      <c r="V31" s="307">
        <f t="shared" si="7"/>
        <v>-90268000</v>
      </c>
      <c r="W31" s="308">
        <f t="shared" si="7"/>
        <v>17365000</v>
      </c>
      <c r="X31" s="308">
        <f t="shared" si="7"/>
        <v>-6431000</v>
      </c>
      <c r="Y31" s="308">
        <f t="shared" si="7"/>
        <v>-15375000</v>
      </c>
      <c r="Z31" s="308">
        <f t="shared" si="7"/>
        <v>-29392000</v>
      </c>
      <c r="AA31" s="307">
        <f t="shared" si="7"/>
        <v>-33833000</v>
      </c>
      <c r="AB31" s="308">
        <f t="shared" si="7"/>
        <v>-27218000</v>
      </c>
      <c r="AC31" s="308">
        <f t="shared" si="7"/>
        <v>-30436000</v>
      </c>
      <c r="AD31" s="308">
        <f t="shared" si="7"/>
        <v>-29684000</v>
      </c>
      <c r="AE31" s="308">
        <f t="shared" si="7"/>
        <v>-31364000</v>
      </c>
      <c r="AF31" s="307">
        <f t="shared" si="7"/>
        <v>-118702000</v>
      </c>
      <c r="AG31" s="308">
        <f t="shared" si="7"/>
        <v>-1586000</v>
      </c>
      <c r="AH31" s="308">
        <f t="shared" si="7"/>
        <v>4863000</v>
      </c>
      <c r="AI31" s="308">
        <f t="shared" si="7"/>
        <v>13977000</v>
      </c>
      <c r="AJ31" s="308">
        <f t="shared" si="7"/>
        <v>-5373000</v>
      </c>
      <c r="AK31" s="307">
        <f t="shared" si="7"/>
        <v>11881000</v>
      </c>
      <c r="AL31" s="308">
        <f t="shared" si="7"/>
        <v>-7489000</v>
      </c>
      <c r="AM31" s="308">
        <f t="shared" si="7"/>
        <v>1732000</v>
      </c>
      <c r="AN31" s="308">
        <f t="shared" si="7"/>
        <v>11210000</v>
      </c>
      <c r="AO31" s="308">
        <f t="shared" si="7"/>
        <v>0</v>
      </c>
      <c r="AP31" s="307">
        <f t="shared" si="7"/>
        <v>5453000</v>
      </c>
    </row>
    <row r="32" spans="1:42" ht="16.649999999999999" customHeight="1" x14ac:dyDescent="0.25">
      <c r="A32" s="103"/>
      <c r="B32" s="320"/>
      <c r="C32" s="103"/>
      <c r="D32" s="103"/>
      <c r="E32" s="103"/>
      <c r="F32" s="103"/>
      <c r="G32" s="320"/>
      <c r="H32" s="103"/>
      <c r="I32" s="103"/>
      <c r="J32" s="103"/>
      <c r="K32" s="103"/>
      <c r="L32" s="320"/>
      <c r="M32" s="103"/>
      <c r="N32" s="103"/>
      <c r="O32" s="103"/>
      <c r="P32" s="103"/>
      <c r="Q32" s="320"/>
      <c r="R32" s="103"/>
      <c r="S32" s="103"/>
      <c r="T32" s="103"/>
      <c r="U32" s="103"/>
      <c r="V32" s="320"/>
      <c r="W32" s="103"/>
      <c r="X32" s="103"/>
      <c r="Y32" s="103"/>
      <c r="Z32" s="103"/>
      <c r="AA32" s="320"/>
      <c r="AB32" s="103"/>
      <c r="AC32" s="103"/>
      <c r="AD32" s="103"/>
      <c r="AE32" s="103"/>
      <c r="AF32" s="320"/>
      <c r="AG32" s="103"/>
      <c r="AH32" s="103"/>
      <c r="AI32" s="103"/>
      <c r="AJ32" s="103"/>
      <c r="AK32" s="320"/>
      <c r="AL32" s="103"/>
      <c r="AM32" s="103"/>
      <c r="AN32" s="103"/>
      <c r="AO32" s="103"/>
      <c r="AP32" s="320"/>
    </row>
    <row r="33" spans="1:42" ht="16.649999999999999" customHeight="1" x14ac:dyDescent="0.25">
      <c r="A33" s="1" t="s">
        <v>438</v>
      </c>
      <c r="B33" s="309">
        <v>0.05</v>
      </c>
      <c r="C33" s="98">
        <v>-0.02</v>
      </c>
      <c r="D33" s="98">
        <v>-0.04</v>
      </c>
      <c r="E33" s="98">
        <v>0.28000000000000003</v>
      </c>
      <c r="F33" s="98">
        <v>7.0000000000000007E-2</v>
      </c>
      <c r="G33" s="309">
        <v>0.3</v>
      </c>
      <c r="H33" s="98">
        <v>-0.04</v>
      </c>
      <c r="I33" s="98">
        <v>0.27</v>
      </c>
      <c r="J33" s="98">
        <v>13.65</v>
      </c>
      <c r="K33" s="98">
        <v>-0.67</v>
      </c>
      <c r="L33" s="309">
        <v>13.71</v>
      </c>
      <c r="M33" s="98">
        <v>-0.61</v>
      </c>
      <c r="N33" s="98">
        <v>-0.59</v>
      </c>
      <c r="O33" s="98">
        <v>-0.56000000000000005</v>
      </c>
      <c r="P33" s="98">
        <v>-0.06</v>
      </c>
      <c r="Q33" s="309">
        <v>-1.84</v>
      </c>
      <c r="R33" s="98">
        <v>-0.33</v>
      </c>
      <c r="S33" s="98">
        <v>-0.36</v>
      </c>
      <c r="T33" s="98">
        <v>-0.18</v>
      </c>
      <c r="U33" s="98">
        <v>-0.49</v>
      </c>
      <c r="V33" s="309">
        <v>-1.36</v>
      </c>
      <c r="W33" s="98">
        <v>0.25</v>
      </c>
      <c r="X33" s="98">
        <v>-0.09</v>
      </c>
      <c r="Y33" s="98">
        <v>-0.23</v>
      </c>
      <c r="Z33" s="98">
        <v>-0.43</v>
      </c>
      <c r="AA33" s="309">
        <v>-0.5</v>
      </c>
      <c r="AB33" s="98">
        <v>-0.4</v>
      </c>
      <c r="AC33" s="98">
        <v>-0.45</v>
      </c>
      <c r="AD33" s="98">
        <v>-0.46</v>
      </c>
      <c r="AE33" s="98">
        <v>-0.48</v>
      </c>
      <c r="AF33" s="309">
        <v>-1.79</v>
      </c>
      <c r="AG33" s="98">
        <v>-0.02</v>
      </c>
      <c r="AH33" s="98">
        <v>7.0000000000000007E-2</v>
      </c>
      <c r="AI33" s="98">
        <v>0.21</v>
      </c>
      <c r="AJ33" s="98">
        <v>-0.08</v>
      </c>
      <c r="AK33" s="309">
        <v>0.17</v>
      </c>
      <c r="AL33" s="98">
        <f>ROUND(+'1.Input IS Trend &amp; EPS'!AZ44,2)</f>
        <v>-0.11</v>
      </c>
      <c r="AM33" s="98">
        <f>ROUND(+'1.Input IS Trend &amp; EPS'!BA44,2)</f>
        <v>0.03</v>
      </c>
      <c r="AN33" s="98">
        <f>ROUND(+'1.Input IS Trend &amp; EPS'!BB44,2)</f>
        <v>0.17</v>
      </c>
      <c r="AO33" s="310">
        <f>ROUND(+'1.Input IS Trend &amp; EPS'!BC44,2)</f>
        <v>0</v>
      </c>
      <c r="AP33" s="309">
        <f>ROUND(+'1.Input IS Trend &amp; EPS'!BD44,2)</f>
        <v>0.08</v>
      </c>
    </row>
    <row r="34" spans="1:42" ht="27.5" customHeight="1" x14ac:dyDescent="0.25">
      <c r="A34" s="1" t="s">
        <v>439</v>
      </c>
      <c r="B34" s="309">
        <v>-1.1000000000000001</v>
      </c>
      <c r="C34" s="98">
        <v>-0.33</v>
      </c>
      <c r="D34" s="98">
        <v>-0.32</v>
      </c>
      <c r="E34" s="98">
        <v>0.04</v>
      </c>
      <c r="F34" s="98">
        <v>-0.24</v>
      </c>
      <c r="G34" s="309">
        <v>-0.85</v>
      </c>
      <c r="H34" s="98">
        <v>-0.36</v>
      </c>
      <c r="I34" s="98">
        <v>-0.53</v>
      </c>
      <c r="J34" s="98">
        <v>-0.2</v>
      </c>
      <c r="K34" s="98">
        <v>-0.73</v>
      </c>
      <c r="L34" s="309">
        <v>-1.79</v>
      </c>
      <c r="M34" s="98">
        <v>-0.61</v>
      </c>
      <c r="N34" s="98">
        <v>-0.59</v>
      </c>
      <c r="O34" s="98">
        <v>-0.56378106798274896</v>
      </c>
      <c r="P34" s="98">
        <v>-7.2845902324678594E-2</v>
      </c>
      <c r="Q34" s="309">
        <v>-1.84859799291617</v>
      </c>
      <c r="R34" s="98">
        <v>-0.33137105383559601</v>
      </c>
      <c r="S34" s="98">
        <v>-0.36309650053022302</v>
      </c>
      <c r="T34" s="98">
        <v>-0.17625482915683299</v>
      </c>
      <c r="U34" s="98">
        <v>-0.48944286331599901</v>
      </c>
      <c r="V34" s="309">
        <v>-1.3614364249247799</v>
      </c>
      <c r="W34" s="98">
        <v>0.24947920408016699</v>
      </c>
      <c r="X34" s="98">
        <v>-9.4515152405866998E-2</v>
      </c>
      <c r="Y34" s="98">
        <v>-0.22547294324681</v>
      </c>
      <c r="Z34" s="98">
        <v>-0.43044388793696797</v>
      </c>
      <c r="AA34" s="309">
        <v>-0.496005043174854</v>
      </c>
      <c r="AB34" s="98">
        <v>-0.39790652456763598</v>
      </c>
      <c r="AC34" s="98">
        <v>-0.45361869560033402</v>
      </c>
      <c r="AD34" s="98">
        <v>-0.47110397629044198</v>
      </c>
      <c r="AE34" s="98">
        <v>-0.55173049166231602</v>
      </c>
      <c r="AF34" s="309">
        <v>-1.87041837472872</v>
      </c>
      <c r="AG34" s="98">
        <v>-2.38507000315804E-2</v>
      </c>
      <c r="AH34" s="98">
        <v>6.5951553014675507E-2</v>
      </c>
      <c r="AI34" s="98">
        <v>0.19691506115420301</v>
      </c>
      <c r="AJ34" s="98">
        <v>-9.3150189225457203E-2</v>
      </c>
      <c r="AK34" s="309">
        <v>0.14857622427044401</v>
      </c>
      <c r="AL34" s="98">
        <f>ROUND(+'1.Input IS Trend &amp; EPS'!AZ42,2)</f>
        <v>-0.11</v>
      </c>
      <c r="AM34" s="98">
        <f>ROUND(+'1.Input IS Trend &amp; EPS'!BA42,2)</f>
        <v>0.03</v>
      </c>
      <c r="AN34" s="98">
        <f>ROUND(+'1.Input IS Trend &amp; EPS'!BB42,2)</f>
        <v>0.14000000000000001</v>
      </c>
      <c r="AO34" s="310">
        <f>ROUND(+'1.Input IS Trend &amp; EPS'!BC42,2)</f>
        <v>0</v>
      </c>
      <c r="AP34" s="309">
        <f>ROUND(+'1.Input IS Trend &amp; EPS'!BD42,2)</f>
        <v>0.06</v>
      </c>
    </row>
    <row r="35" spans="1:42" ht="16.649999999999999" customHeight="1" x14ac:dyDescent="0.25"/>
    <row r="36" spans="1:42" ht="16.649999999999999" customHeight="1" x14ac:dyDescent="0.3">
      <c r="A36" s="410" t="s">
        <v>440</v>
      </c>
      <c r="B36" s="362"/>
      <c r="C36" s="362"/>
    </row>
    <row r="37" spans="1:42" ht="27.5" customHeight="1" x14ac:dyDescent="0.25">
      <c r="B37" s="411" t="s">
        <v>441</v>
      </c>
      <c r="C37" s="362"/>
      <c r="D37" s="362"/>
      <c r="E37" s="362"/>
      <c r="F37" s="362"/>
      <c r="G37" s="362"/>
    </row>
    <row r="38" spans="1:42" ht="15" customHeight="1" x14ac:dyDescent="0.25"/>
    <row r="39" spans="1:42" ht="15" customHeight="1" x14ac:dyDescent="0.25"/>
    <row r="40" spans="1:42" ht="15" customHeight="1" x14ac:dyDescent="0.25">
      <c r="A40" s="312" t="s">
        <v>442</v>
      </c>
    </row>
    <row r="41" spans="1:42" ht="16.649999999999999" customHeight="1" x14ac:dyDescent="0.3">
      <c r="A41" s="95" t="s">
        <v>443</v>
      </c>
    </row>
    <row r="42" spans="1:42" ht="16.649999999999999" customHeight="1" x14ac:dyDescent="0.25">
      <c r="A42" s="50" t="s">
        <v>432</v>
      </c>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0"/>
      <c r="AN42" s="50"/>
      <c r="AO42" s="50"/>
      <c r="AP42" s="50"/>
    </row>
    <row r="43" spans="1:42" ht="16.649999999999999" customHeight="1" x14ac:dyDescent="0.3">
      <c r="B43" s="313" t="s">
        <v>223</v>
      </c>
      <c r="C43" s="314" t="s">
        <v>224</v>
      </c>
      <c r="D43" s="314" t="s">
        <v>225</v>
      </c>
      <c r="E43" s="314" t="s">
        <v>226</v>
      </c>
      <c r="F43" s="314" t="s">
        <v>227</v>
      </c>
      <c r="G43" s="313" t="s">
        <v>228</v>
      </c>
      <c r="H43" s="314" t="s">
        <v>229</v>
      </c>
      <c r="I43" s="314" t="s">
        <v>230</v>
      </c>
      <c r="J43" s="314" t="s">
        <v>231</v>
      </c>
      <c r="K43" s="314" t="s">
        <v>232</v>
      </c>
      <c r="L43" s="313" t="s">
        <v>233</v>
      </c>
      <c r="M43" s="314" t="s">
        <v>234</v>
      </c>
      <c r="N43" s="314" t="s">
        <v>235</v>
      </c>
      <c r="O43" s="314" t="s">
        <v>236</v>
      </c>
      <c r="P43" s="314" t="s">
        <v>237</v>
      </c>
      <c r="Q43" s="313" t="s">
        <v>238</v>
      </c>
      <c r="R43" s="314" t="s">
        <v>239</v>
      </c>
      <c r="S43" s="314" t="s">
        <v>240</v>
      </c>
      <c r="T43" s="314" t="s">
        <v>241</v>
      </c>
      <c r="U43" s="314" t="s">
        <v>242</v>
      </c>
      <c r="V43" s="313" t="s">
        <v>243</v>
      </c>
      <c r="W43" s="314" t="s">
        <v>244</v>
      </c>
      <c r="X43" s="314" t="s">
        <v>245</v>
      </c>
      <c r="Y43" s="314" t="s">
        <v>246</v>
      </c>
      <c r="Z43" s="314" t="s">
        <v>247</v>
      </c>
      <c r="AA43" s="313" t="s">
        <v>248</v>
      </c>
      <c r="AB43" s="314" t="s">
        <v>249</v>
      </c>
      <c r="AC43" s="314" t="s">
        <v>250</v>
      </c>
      <c r="AD43" s="314" t="s">
        <v>251</v>
      </c>
      <c r="AE43" s="314" t="s">
        <v>252</v>
      </c>
      <c r="AF43" s="313" t="s">
        <v>253</v>
      </c>
      <c r="AG43" s="314" t="s">
        <v>254</v>
      </c>
      <c r="AH43" s="314" t="s">
        <v>255</v>
      </c>
      <c r="AI43" s="314" t="s">
        <v>256</v>
      </c>
      <c r="AJ43" s="314" t="s">
        <v>257</v>
      </c>
      <c r="AK43" s="313" t="s">
        <v>258</v>
      </c>
      <c r="AL43" s="314" t="s">
        <v>259</v>
      </c>
      <c r="AM43" s="314" t="s">
        <v>260</v>
      </c>
      <c r="AN43" s="314" t="s">
        <v>261</v>
      </c>
      <c r="AO43" s="314" t="s">
        <v>262</v>
      </c>
      <c r="AP43" s="313" t="s">
        <v>263</v>
      </c>
    </row>
    <row r="44" spans="1:42" ht="16.649999999999999" customHeight="1" x14ac:dyDescent="0.25">
      <c r="A44" s="1" t="s">
        <v>180</v>
      </c>
      <c r="B44" s="315">
        <v>174760000</v>
      </c>
      <c r="C44" s="316">
        <v>46757000</v>
      </c>
      <c r="D44" s="316">
        <v>54013000</v>
      </c>
      <c r="E44" s="316">
        <v>59121000</v>
      </c>
      <c r="F44" s="316">
        <v>60210000</v>
      </c>
      <c r="G44" s="315">
        <v>220101000</v>
      </c>
      <c r="H44" s="316">
        <v>62471000</v>
      </c>
      <c r="I44" s="316">
        <v>64812000</v>
      </c>
      <c r="J44" s="316">
        <v>80021000</v>
      </c>
      <c r="K44" s="316">
        <v>78316000</v>
      </c>
      <c r="L44" s="315">
        <v>285620000</v>
      </c>
      <c r="M44" s="316">
        <v>82511000</v>
      </c>
      <c r="N44" s="316">
        <v>90143000</v>
      </c>
      <c r="O44" s="316">
        <v>102217000</v>
      </c>
      <c r="P44" s="316">
        <v>105701000</v>
      </c>
      <c r="Q44" s="315">
        <f>SUM(M44:P44)</f>
        <v>380572000</v>
      </c>
      <c r="R44" s="316">
        <v>99437000</v>
      </c>
      <c r="S44" s="316">
        <v>104661000</v>
      </c>
      <c r="T44" s="316">
        <v>119753000</v>
      </c>
      <c r="U44" s="316">
        <v>119175000</v>
      </c>
      <c r="V44" s="315">
        <f>SUM(R44:U44)</f>
        <v>443026000</v>
      </c>
      <c r="W44" s="316">
        <v>119038000</v>
      </c>
      <c r="X44" s="316">
        <v>127290000</v>
      </c>
      <c r="Y44" s="316">
        <v>140604000</v>
      </c>
      <c r="Z44" s="316">
        <v>141725000</v>
      </c>
      <c r="AA44" s="315">
        <f>SUM(W44:Z44)</f>
        <v>528657000</v>
      </c>
      <c r="AB44" s="316">
        <f>+'1.Input IS Trend &amp; EPS'!BL9</f>
        <v>142243000</v>
      </c>
      <c r="AC44" s="316">
        <f>+'1.Input IS Trend &amp; EPS'!BM9</f>
        <v>147099000</v>
      </c>
      <c r="AD44" s="316">
        <f>+'1.Input IS Trend &amp; EPS'!BN9</f>
        <v>158615000</v>
      </c>
      <c r="AE44" s="316">
        <f>+'1.Input IS Trend &amp; EPS'!BO9</f>
        <v>148626000</v>
      </c>
      <c r="AF44" s="315">
        <f>SUM(AB44:AE44)</f>
        <v>596583000</v>
      </c>
      <c r="AG44" s="316">
        <f>+'1.Input IS Trend &amp; EPS'!BF9</f>
        <v>154069000</v>
      </c>
      <c r="AH44" s="316">
        <f>+'1.Input IS Trend &amp; EPS'!BG9</f>
        <v>159871000</v>
      </c>
      <c r="AI44" s="316">
        <f>+'1.Input IS Trend &amp; EPS'!BH9</f>
        <v>173869000</v>
      </c>
      <c r="AJ44" s="316">
        <f>+'1.Input IS Trend &amp; EPS'!BI9</f>
        <v>171852000</v>
      </c>
      <c r="AK44" s="315">
        <f>SUM(AG44:AJ44)</f>
        <v>659661000</v>
      </c>
      <c r="AL44" s="316">
        <f>+'1.Input IS Trend &amp; EPS'!AZ9</f>
        <v>175961000</v>
      </c>
      <c r="AM44" s="316">
        <f>+'1.Input IS Trend &amp; EPS'!BA9</f>
        <v>185483000</v>
      </c>
      <c r="AN44" s="316">
        <f>+'1.Input IS Trend &amp; EPS'!BB9</f>
        <v>195412000</v>
      </c>
      <c r="AO44" s="316">
        <f>+'1.Input IS Trend &amp; EPS'!BC9</f>
        <v>0</v>
      </c>
      <c r="AP44" s="315">
        <f>SUM(AL44:AO44)</f>
        <v>556856000</v>
      </c>
    </row>
    <row r="45" spans="1:42" ht="16.649999999999999" customHeight="1" x14ac:dyDescent="0.25">
      <c r="B45" s="319"/>
      <c r="G45" s="319"/>
      <c r="L45" s="319"/>
      <c r="Q45" s="319"/>
      <c r="V45" s="319"/>
      <c r="AA45" s="319"/>
      <c r="AF45" s="319"/>
      <c r="AK45" s="319"/>
      <c r="AP45" s="319"/>
    </row>
    <row r="46" spans="1:42" ht="16.649999999999999" customHeight="1" x14ac:dyDescent="0.25">
      <c r="A46" s="293" t="s">
        <v>181</v>
      </c>
      <c r="B46" s="297">
        <v>77040000</v>
      </c>
      <c r="C46" s="255">
        <v>17464000</v>
      </c>
      <c r="D46" s="255">
        <v>17341000</v>
      </c>
      <c r="E46" s="255">
        <v>17888000</v>
      </c>
      <c r="F46" s="255">
        <v>17157000</v>
      </c>
      <c r="G46" s="297">
        <v>69850000</v>
      </c>
      <c r="H46" s="255">
        <v>16972000</v>
      </c>
      <c r="I46" s="255">
        <v>20136000</v>
      </c>
      <c r="J46" s="255">
        <v>28900000</v>
      </c>
      <c r="K46" s="255">
        <v>31171000</v>
      </c>
      <c r="L46" s="297">
        <v>97180000</v>
      </c>
      <c r="M46" s="255">
        <v>31061000</v>
      </c>
      <c r="N46" s="255">
        <v>33786000</v>
      </c>
      <c r="O46" s="255">
        <v>31569000</v>
      </c>
      <c r="P46" s="255">
        <v>30745000</v>
      </c>
      <c r="Q46" s="297">
        <f>SUM(M46:P46)</f>
        <v>127161000</v>
      </c>
      <c r="R46" s="255">
        <v>28384000</v>
      </c>
      <c r="S46" s="255">
        <v>29634000</v>
      </c>
      <c r="T46" s="255">
        <v>31884000</v>
      </c>
      <c r="U46" s="255">
        <v>30756000</v>
      </c>
      <c r="V46" s="297">
        <f>SUM(R46:U46)</f>
        <v>120658000</v>
      </c>
      <c r="W46" s="255">
        <v>28880000</v>
      </c>
      <c r="X46" s="255">
        <v>29519000</v>
      </c>
      <c r="Y46" s="255">
        <v>32742000</v>
      </c>
      <c r="Z46" s="255">
        <v>33464000</v>
      </c>
      <c r="AA46" s="297">
        <f>SUM(W46:Z46)</f>
        <v>124605000</v>
      </c>
      <c r="AB46" s="255">
        <f>+'1.Input IS Trend &amp; EPS'!BL10-SUMIF('1.Input NG Expense'!$AC$12:$AC$20,$A46,'1.Input NG Expense'!AT$12:AT$20)</f>
        <v>35215000</v>
      </c>
      <c r="AC46" s="255">
        <f>+'1.Input IS Trend &amp; EPS'!BM10-SUMIF('1.Input NG Expense'!$AC$12:$AC$20,$A46,'1.Input NG Expense'!AU$12:AU$20)</f>
        <v>36374000</v>
      </c>
      <c r="AD46" s="255">
        <f>+'1.Input IS Trend &amp; EPS'!BN10-SUMIF('1.Input NG Expense'!$AC$12:$AC$20,$A46,'1.Input NG Expense'!AV$12:AV$20)</f>
        <v>37870000</v>
      </c>
      <c r="AE46" s="255">
        <f>+'1.Input IS Trend &amp; EPS'!BO10-SUMIF('1.Input NG Expense'!$AC$12:$AC$20,$A46,'1.Input NG Expense'!AW$12:AW$20)</f>
        <v>37483000</v>
      </c>
      <c r="AF46" s="297">
        <f>SUM(AB46:AE46)</f>
        <v>146942000</v>
      </c>
      <c r="AG46" s="255">
        <f>+'1.Input IS Trend &amp; EPS'!BF10-SUMIF('1.Input NG Expense'!$AC$12:$AC$20,$A46,'1.Input NG Expense'!AN$12:AN$20)</f>
        <v>41702000</v>
      </c>
      <c r="AH46" s="255">
        <f>+'1.Input IS Trend &amp; EPS'!BG10-SUMIF('1.Input NG Expense'!$AC$12:$AC$20,$A46,'1.Input NG Expense'!AO$12:AO$20)</f>
        <v>39366000</v>
      </c>
      <c r="AI46" s="255">
        <f>+'1.Input IS Trend &amp; EPS'!BH10-SUMIF('1.Input NG Expense'!$AC$12:$AC$20,$A46,'1.Input NG Expense'!AP$12:AP$20)</f>
        <v>42936000</v>
      </c>
      <c r="AJ46" s="255">
        <f>+'1.Input IS Trend &amp; EPS'!BI10-SUMIF('1.Input NG Expense'!$AC$12:$AC$20,$A46,'1.Input NG Expense'!AQ$12:AQ$20)</f>
        <v>43147000</v>
      </c>
      <c r="AK46" s="297">
        <f>SUM(AG46:AJ46)</f>
        <v>167151000</v>
      </c>
      <c r="AL46" s="255">
        <f>+'1.Input IS Trend &amp; EPS'!AZ10-SUMIF('1.Input NG Expense'!$AC$12:$AC$20,$A46,'1.Input NG Expense'!AH$12:AH$20)</f>
        <v>46307000</v>
      </c>
      <c r="AM46" s="255">
        <f>+'1.Input IS Trend &amp; EPS'!BA10-SUMIF('1.Input NG Expense'!$AC$12:$AC$20,$A46,'1.Input NG Expense'!AI$12:AI$20)</f>
        <v>45987000</v>
      </c>
      <c r="AN46" s="255">
        <f>+'1.Input IS Trend &amp; EPS'!BB10-SUMIF('1.Input NG Expense'!$AC$12:$AC$20,$A46,'1.Input NG Expense'!AJ$12:AJ$20)</f>
        <v>49857000</v>
      </c>
      <c r="AO46" s="255">
        <f>+'1.Input IS Trend &amp; EPS'!BC10-SUMIF('1.Input NG Expense'!$AC$12:$AC$20,$A46,'1.Input NG Expense'!AK$12:AK$20)</f>
        <v>0</v>
      </c>
      <c r="AP46" s="297">
        <f>SUM(AL46:AO46)</f>
        <v>142151000</v>
      </c>
    </row>
    <row r="47" spans="1:42" ht="16.649999999999999" customHeight="1" x14ac:dyDescent="0.25">
      <c r="A47" s="298" t="s">
        <v>182</v>
      </c>
      <c r="B47" s="299">
        <f t="shared" ref="B47:AP47" si="8">+B44-B46</f>
        <v>97720000</v>
      </c>
      <c r="C47" s="258">
        <f t="shared" si="8"/>
        <v>29293000</v>
      </c>
      <c r="D47" s="258">
        <f t="shared" si="8"/>
        <v>36672000</v>
      </c>
      <c r="E47" s="258">
        <f t="shared" si="8"/>
        <v>41233000</v>
      </c>
      <c r="F47" s="258">
        <f t="shared" si="8"/>
        <v>43053000</v>
      </c>
      <c r="G47" s="299">
        <f t="shared" si="8"/>
        <v>150251000</v>
      </c>
      <c r="H47" s="258">
        <f t="shared" si="8"/>
        <v>45499000</v>
      </c>
      <c r="I47" s="258">
        <f t="shared" si="8"/>
        <v>44676000</v>
      </c>
      <c r="J47" s="258">
        <f t="shared" si="8"/>
        <v>51121000</v>
      </c>
      <c r="K47" s="258">
        <f t="shared" si="8"/>
        <v>47145000</v>
      </c>
      <c r="L47" s="299">
        <f t="shared" si="8"/>
        <v>188440000</v>
      </c>
      <c r="M47" s="258">
        <f t="shared" si="8"/>
        <v>51450000</v>
      </c>
      <c r="N47" s="258">
        <f t="shared" si="8"/>
        <v>56357000</v>
      </c>
      <c r="O47" s="258">
        <f t="shared" si="8"/>
        <v>70648000</v>
      </c>
      <c r="P47" s="258">
        <f t="shared" si="8"/>
        <v>74956000</v>
      </c>
      <c r="Q47" s="299">
        <f t="shared" si="8"/>
        <v>253411000</v>
      </c>
      <c r="R47" s="258">
        <f t="shared" si="8"/>
        <v>71053000</v>
      </c>
      <c r="S47" s="258">
        <f t="shared" si="8"/>
        <v>75027000</v>
      </c>
      <c r="T47" s="258">
        <f t="shared" si="8"/>
        <v>87869000</v>
      </c>
      <c r="U47" s="258">
        <f t="shared" si="8"/>
        <v>88419000</v>
      </c>
      <c r="V47" s="299">
        <f t="shared" si="8"/>
        <v>322368000</v>
      </c>
      <c r="W47" s="258">
        <f t="shared" si="8"/>
        <v>90158000</v>
      </c>
      <c r="X47" s="258">
        <f t="shared" si="8"/>
        <v>97771000</v>
      </c>
      <c r="Y47" s="258">
        <f t="shared" si="8"/>
        <v>107862000</v>
      </c>
      <c r="Z47" s="258">
        <f t="shared" si="8"/>
        <v>108261000</v>
      </c>
      <c r="AA47" s="299">
        <f t="shared" si="8"/>
        <v>404052000</v>
      </c>
      <c r="AB47" s="258">
        <f t="shared" si="8"/>
        <v>107028000</v>
      </c>
      <c r="AC47" s="258">
        <f t="shared" si="8"/>
        <v>110725000</v>
      </c>
      <c r="AD47" s="258">
        <f t="shared" si="8"/>
        <v>120745000</v>
      </c>
      <c r="AE47" s="258">
        <f t="shared" si="8"/>
        <v>111143000</v>
      </c>
      <c r="AF47" s="299">
        <f t="shared" si="8"/>
        <v>449641000</v>
      </c>
      <c r="AG47" s="258">
        <f t="shared" si="8"/>
        <v>112367000</v>
      </c>
      <c r="AH47" s="258">
        <f t="shared" si="8"/>
        <v>120505000</v>
      </c>
      <c r="AI47" s="258">
        <f t="shared" si="8"/>
        <v>130933000</v>
      </c>
      <c r="AJ47" s="258">
        <f t="shared" si="8"/>
        <v>128705000</v>
      </c>
      <c r="AK47" s="299">
        <f t="shared" si="8"/>
        <v>492510000</v>
      </c>
      <c r="AL47" s="258">
        <f t="shared" si="8"/>
        <v>129654000</v>
      </c>
      <c r="AM47" s="258">
        <f t="shared" si="8"/>
        <v>139496000</v>
      </c>
      <c r="AN47" s="258">
        <f t="shared" si="8"/>
        <v>145555000</v>
      </c>
      <c r="AO47" s="258">
        <f t="shared" si="8"/>
        <v>0</v>
      </c>
      <c r="AP47" s="299">
        <f t="shared" si="8"/>
        <v>414705000</v>
      </c>
    </row>
    <row r="48" spans="1:42" ht="16.649999999999999" customHeight="1" x14ac:dyDescent="0.3">
      <c r="A48" s="300" t="s">
        <v>183</v>
      </c>
      <c r="B48" s="301">
        <f t="shared" ref="B48:AK48" si="9">+B47/B44</f>
        <v>0.55916685740444039</v>
      </c>
      <c r="C48" s="302">
        <f t="shared" si="9"/>
        <v>0.62649442864170068</v>
      </c>
      <c r="D48" s="302">
        <f t="shared" si="9"/>
        <v>0.67894766074833834</v>
      </c>
      <c r="E48" s="302">
        <f t="shared" si="9"/>
        <v>0.69743407587828354</v>
      </c>
      <c r="F48" s="302">
        <f t="shared" si="9"/>
        <v>0.71504733432984557</v>
      </c>
      <c r="G48" s="301">
        <f t="shared" si="9"/>
        <v>0.6826456944766266</v>
      </c>
      <c r="H48" s="302">
        <f t="shared" si="9"/>
        <v>0.72832194138080064</v>
      </c>
      <c r="I48" s="302">
        <f t="shared" si="9"/>
        <v>0.68931679318644701</v>
      </c>
      <c r="J48" s="302">
        <f t="shared" si="9"/>
        <v>0.63884480323914972</v>
      </c>
      <c r="K48" s="302">
        <f t="shared" si="9"/>
        <v>0.6019842688594923</v>
      </c>
      <c r="L48" s="301">
        <f t="shared" si="9"/>
        <v>0.65975772004761568</v>
      </c>
      <c r="M48" s="302">
        <f t="shared" si="9"/>
        <v>0.62355322320660278</v>
      </c>
      <c r="N48" s="302">
        <f t="shared" si="9"/>
        <v>0.62519552266953615</v>
      </c>
      <c r="O48" s="302">
        <f t="shared" si="9"/>
        <v>0.69115704824050794</v>
      </c>
      <c r="P48" s="302">
        <f t="shared" si="9"/>
        <v>0.7091323639322239</v>
      </c>
      <c r="Q48" s="301">
        <f t="shared" si="9"/>
        <v>0.66586874494182446</v>
      </c>
      <c r="R48" s="302">
        <f t="shared" si="9"/>
        <v>0.71455293301286238</v>
      </c>
      <c r="S48" s="302">
        <f t="shared" si="9"/>
        <v>0.71685728208215094</v>
      </c>
      <c r="T48" s="302">
        <f t="shared" si="9"/>
        <v>0.73375197281070204</v>
      </c>
      <c r="U48" s="302">
        <f t="shared" si="9"/>
        <v>0.74192573945877915</v>
      </c>
      <c r="V48" s="301">
        <f t="shared" si="9"/>
        <v>0.72765029591942687</v>
      </c>
      <c r="W48" s="302">
        <f t="shared" si="9"/>
        <v>0.75738839698247618</v>
      </c>
      <c r="X48" s="302">
        <f t="shared" si="9"/>
        <v>0.76809647262157277</v>
      </c>
      <c r="Y48" s="302">
        <f t="shared" si="9"/>
        <v>0.76713322522830074</v>
      </c>
      <c r="Z48" s="302">
        <f t="shared" si="9"/>
        <v>0.76388075498324215</v>
      </c>
      <c r="AA48" s="301">
        <f t="shared" si="9"/>
        <v>0.76429896889665705</v>
      </c>
      <c r="AB48" s="302">
        <f t="shared" si="9"/>
        <v>0.75243069957748365</v>
      </c>
      <c r="AC48" s="302">
        <f t="shared" si="9"/>
        <v>0.75272435570602114</v>
      </c>
      <c r="AD48" s="302">
        <f t="shared" si="9"/>
        <v>0.76124578381615859</v>
      </c>
      <c r="AE48" s="302">
        <f t="shared" si="9"/>
        <v>0.74780321074374601</v>
      </c>
      <c r="AF48" s="301">
        <f t="shared" si="9"/>
        <v>0.75369395373317716</v>
      </c>
      <c r="AG48" s="302">
        <f t="shared" si="9"/>
        <v>0.72932906684667265</v>
      </c>
      <c r="AH48" s="302">
        <f t="shared" si="9"/>
        <v>0.75376397220258828</v>
      </c>
      <c r="AI48" s="302">
        <f t="shared" si="9"/>
        <v>0.7530554612955731</v>
      </c>
      <c r="AJ48" s="302">
        <f t="shared" si="9"/>
        <v>0.74892931126783513</v>
      </c>
      <c r="AK48" s="301">
        <f t="shared" si="9"/>
        <v>0.74661075916266084</v>
      </c>
      <c r="AL48" s="302">
        <f>IFERROR(+AL47/AL44,0)</f>
        <v>0.73683373020157872</v>
      </c>
      <c r="AM48" s="302">
        <f>IFERROR(+AM47/AM44,0)</f>
        <v>0.75206892275841986</v>
      </c>
      <c r="AN48" s="302">
        <f>IFERROR(+AN47/AN44,0)</f>
        <v>0.74486213743270624</v>
      </c>
      <c r="AO48" s="302">
        <f>IFERROR(+AO47/AO44,0)</f>
        <v>0</v>
      </c>
      <c r="AP48" s="301">
        <f>+AP47/AP44</f>
        <v>0.74472574597382446</v>
      </c>
    </row>
    <row r="49" spans="1:42" ht="16.649999999999999" customHeight="1" x14ac:dyDescent="0.25">
      <c r="B49" s="321"/>
      <c r="G49" s="321"/>
      <c r="L49" s="321"/>
      <c r="Q49" s="321"/>
      <c r="V49" s="321"/>
      <c r="AA49" s="321"/>
      <c r="AF49" s="321"/>
      <c r="AK49" s="321"/>
      <c r="AP49" s="321"/>
    </row>
    <row r="50" spans="1:42" ht="16.649999999999999" customHeight="1" x14ac:dyDescent="0.25">
      <c r="A50" s="1" t="s">
        <v>184</v>
      </c>
      <c r="B50" s="319"/>
      <c r="G50" s="319"/>
      <c r="L50" s="319"/>
      <c r="Q50" s="319"/>
      <c r="V50" s="319"/>
      <c r="AA50" s="319"/>
      <c r="AF50" s="319"/>
      <c r="AK50" s="319"/>
      <c r="AP50" s="319"/>
    </row>
    <row r="51" spans="1:42" ht="15" customHeight="1" x14ac:dyDescent="0.25">
      <c r="A51" s="303" t="s">
        <v>185</v>
      </c>
      <c r="B51" s="304">
        <v>38854000</v>
      </c>
      <c r="C51" s="83">
        <v>11147000</v>
      </c>
      <c r="D51" s="83">
        <v>11963000</v>
      </c>
      <c r="E51" s="83">
        <v>11134000</v>
      </c>
      <c r="F51" s="83">
        <v>10825000</v>
      </c>
      <c r="G51" s="304">
        <v>45070000</v>
      </c>
      <c r="H51" s="83">
        <v>12628000</v>
      </c>
      <c r="I51" s="83">
        <v>13195000</v>
      </c>
      <c r="J51" s="83">
        <v>14525000</v>
      </c>
      <c r="K51" s="83">
        <v>17125000</v>
      </c>
      <c r="L51" s="304">
        <v>57472000</v>
      </c>
      <c r="M51" s="83">
        <v>19271000</v>
      </c>
      <c r="N51" s="83">
        <v>20099000</v>
      </c>
      <c r="O51" s="83">
        <v>20941000</v>
      </c>
      <c r="P51" s="83">
        <v>22410000</v>
      </c>
      <c r="Q51" s="304">
        <f>SUM(M51:P51)</f>
        <v>82721000</v>
      </c>
      <c r="R51" s="83">
        <v>21103000</v>
      </c>
      <c r="S51" s="83">
        <v>23322000</v>
      </c>
      <c r="T51" s="83">
        <v>23232000</v>
      </c>
      <c r="U51" s="83">
        <v>28494000</v>
      </c>
      <c r="V51" s="304">
        <f>SUM(R51:U51)</f>
        <v>96151000</v>
      </c>
      <c r="W51" s="83">
        <v>29428000</v>
      </c>
      <c r="X51" s="83">
        <v>28604000</v>
      </c>
      <c r="Y51" s="83">
        <v>32606000</v>
      </c>
      <c r="Z51" s="83">
        <v>35185000</v>
      </c>
      <c r="AA51" s="304">
        <f>SUM(W51:Z51)</f>
        <v>125823000</v>
      </c>
      <c r="AB51" s="83">
        <f>+'1.Input IS Trend &amp; EPS'!BL16-SUMIF('1.Input NG Expense'!$AC$12:$AC$20,$A51,'1.Input NG Expense'!AT$12:AT$20)</f>
        <v>36005000</v>
      </c>
      <c r="AC51" s="83">
        <f>+'1.Input IS Trend &amp; EPS'!BM16-SUMIF('1.Input NG Expense'!$AC$12:$AC$20,$A51,'1.Input NG Expense'!AU$12:AU$20)</f>
        <v>33779000</v>
      </c>
      <c r="AD51" s="83">
        <f>+'1.Input IS Trend &amp; EPS'!BN16-SUMIF('1.Input NG Expense'!$AC$12:$AC$20,$A51,'1.Input NG Expense'!AV$12:AV$20)</f>
        <v>32521000</v>
      </c>
      <c r="AE51" s="83">
        <f>+'1.Input IS Trend &amp; EPS'!BO16-SUMIF('1.Input NG Expense'!$AC$12:$AC$20,$A51,'1.Input NG Expense'!AW$12:AW$20)</f>
        <v>31483000</v>
      </c>
      <c r="AF51" s="304">
        <f>SUM(AB51:AE51)</f>
        <v>133788000</v>
      </c>
      <c r="AG51" s="83">
        <f>+'1.Input IS Trend &amp; EPS'!BF16-SUMIF('1.Input NG Expense'!$AC$12:$AC$20,$A51,'1.Input NG Expense'!AN$12:AN$20)</f>
        <v>29442000</v>
      </c>
      <c r="AH51" s="83">
        <f>+'1.Input IS Trend &amp; EPS'!BG16-SUMIF('1.Input NG Expense'!$AC$12:$AC$20,$A51,'1.Input NG Expense'!AO$12:AO$20)</f>
        <v>28440000</v>
      </c>
      <c r="AI51" s="83">
        <f>+'1.Input IS Trend &amp; EPS'!BH16-SUMIF('1.Input NG Expense'!$AC$12:$AC$20,$A51,'1.Input NG Expense'!AP$12:AP$20)</f>
        <v>30828000</v>
      </c>
      <c r="AJ51" s="83">
        <f>+'1.Input IS Trend &amp; EPS'!BI16-SUMIF('1.Input NG Expense'!$AC$12:$AC$20,$A51,'1.Input NG Expense'!AQ$12:AQ$20)</f>
        <v>35302000</v>
      </c>
      <c r="AK51" s="304">
        <f>SUM(AG51:AJ51)</f>
        <v>124012000</v>
      </c>
      <c r="AL51" s="83">
        <f>+'1.Input IS Trend &amp; EPS'!AZ16-SUMIF('1.Input NG Expense'!$AC$12:$AC$20,$A51,'1.Input NG Expense'!AH$12:AH$20)</f>
        <v>33913000</v>
      </c>
      <c r="AM51" s="83">
        <f>+'1.Input IS Trend &amp; EPS'!BA16-SUMIF('1.Input NG Expense'!$AC$12:$AC$20,$A51,'1.Input NG Expense'!AI$12:AI$20)</f>
        <v>32969000</v>
      </c>
      <c r="AN51" s="83">
        <f>+'1.Input IS Trend &amp; EPS'!BB16-SUMIF('1.Input NG Expense'!$AC$12:$AC$20,$A51,'1.Input NG Expense'!AJ$12:AJ$20)</f>
        <v>32650000</v>
      </c>
      <c r="AO51" s="83">
        <f>+'1.Input IS Trend &amp; EPS'!BC16-SUMIF('1.Input NG Expense'!$AC$12:$AC$20,$A51,'1.Input NG Expense'!AK$12:AK$20)</f>
        <v>0</v>
      </c>
      <c r="AP51" s="304">
        <f>SUM(AL51:AO51)</f>
        <v>99532000</v>
      </c>
    </row>
    <row r="52" spans="1:42" ht="15" customHeight="1" x14ac:dyDescent="0.25">
      <c r="A52" s="303" t="s">
        <v>186</v>
      </c>
      <c r="B52" s="304">
        <v>51765000</v>
      </c>
      <c r="C52" s="83">
        <v>18637000</v>
      </c>
      <c r="D52" s="83">
        <v>20251000</v>
      </c>
      <c r="E52" s="83">
        <v>21581000</v>
      </c>
      <c r="F52" s="83">
        <v>24790000</v>
      </c>
      <c r="G52" s="304">
        <v>85259000</v>
      </c>
      <c r="H52" s="83">
        <v>23402000</v>
      </c>
      <c r="I52" s="83">
        <v>26086000</v>
      </c>
      <c r="J52" s="83">
        <v>30594000</v>
      </c>
      <c r="K52" s="83">
        <v>34487000</v>
      </c>
      <c r="L52" s="304">
        <v>114568000</v>
      </c>
      <c r="M52" s="83">
        <v>34224000</v>
      </c>
      <c r="N52" s="83">
        <v>35446000</v>
      </c>
      <c r="O52" s="83">
        <v>36323000</v>
      </c>
      <c r="P52" s="83">
        <v>44886000</v>
      </c>
      <c r="Q52" s="304">
        <f>SUM(M52:P52)</f>
        <v>150879000</v>
      </c>
      <c r="R52" s="83">
        <v>31504000</v>
      </c>
      <c r="S52" s="83">
        <v>32472000</v>
      </c>
      <c r="T52" s="83">
        <v>34692000</v>
      </c>
      <c r="U52" s="83">
        <v>38474000</v>
      </c>
      <c r="V52" s="304">
        <f>SUM(R52:U52)</f>
        <v>137142000</v>
      </c>
      <c r="W52" s="83">
        <v>35186000</v>
      </c>
      <c r="X52" s="83">
        <v>32760000</v>
      </c>
      <c r="Y52" s="83">
        <v>38995000</v>
      </c>
      <c r="Z52" s="83">
        <v>47236000</v>
      </c>
      <c r="AA52" s="304">
        <f>SUM(W52:Z52)</f>
        <v>154177000</v>
      </c>
      <c r="AB52" s="83">
        <f>+'1.Input IS Trend &amp; EPS'!BL17-SUMIF('1.Input NG Expense'!$AC$12:$AC$20,$A52,'1.Input NG Expense'!AT$12:AT$20)</f>
        <v>45396000</v>
      </c>
      <c r="AC52" s="83">
        <f>+'1.Input IS Trend &amp; EPS'!BM17-SUMIF('1.Input NG Expense'!$AC$12:$AC$20,$A52,'1.Input NG Expense'!AU$12:AU$20)</f>
        <v>39833000</v>
      </c>
      <c r="AD52" s="83">
        <f>+'1.Input IS Trend &amp; EPS'!BN17-SUMIF('1.Input NG Expense'!$AC$12:$AC$20,$A52,'1.Input NG Expense'!AV$12:AV$20)</f>
        <v>41831000</v>
      </c>
      <c r="AE52" s="83">
        <f>+'1.Input IS Trend &amp; EPS'!BO17-SUMIF('1.Input NG Expense'!$AC$12:$AC$20,$A52,'1.Input NG Expense'!AW$12:AW$20)</f>
        <v>45948000</v>
      </c>
      <c r="AF52" s="304">
        <f>SUM(AB52:AE52)</f>
        <v>173008000</v>
      </c>
      <c r="AG52" s="83">
        <f>+'1.Input IS Trend &amp; EPS'!BF17-SUMIF('1.Input NG Expense'!$AC$12:$AC$20,$A52,'1.Input NG Expense'!AN$12:AN$20)</f>
        <v>41143000</v>
      </c>
      <c r="AH52" s="83">
        <f>+'1.Input IS Trend &amp; EPS'!BG17-SUMIF('1.Input NG Expense'!$AC$12:$AC$20,$A52,'1.Input NG Expense'!AO$12:AO$20)</f>
        <v>39349000</v>
      </c>
      <c r="AI52" s="83">
        <f>+'1.Input IS Trend &amp; EPS'!BH17-SUMIF('1.Input NG Expense'!$AC$12:$AC$20,$A52,'1.Input NG Expense'!AP$12:AP$20)</f>
        <v>42114000</v>
      </c>
      <c r="AJ52" s="83">
        <f>+'1.Input IS Trend &amp; EPS'!BI17-SUMIF('1.Input NG Expense'!$AC$12:$AC$20,$A52,'1.Input NG Expense'!AQ$12:AQ$20)</f>
        <v>54139000</v>
      </c>
      <c r="AK52" s="304">
        <f>SUM(AG52:AJ52)</f>
        <v>176745000</v>
      </c>
      <c r="AL52" s="83">
        <f>+'1.Input IS Trend &amp; EPS'!AZ17-SUMIF('1.Input NG Expense'!$AC$12:$AC$20,$A52,'1.Input NG Expense'!AH$12:AH$20)</f>
        <v>47082000</v>
      </c>
      <c r="AM52" s="83">
        <f>+'1.Input IS Trend &amp; EPS'!BA17-SUMIF('1.Input NG Expense'!$AC$12:$AC$20,$A52,'1.Input NG Expense'!AI$12:AI$20)</f>
        <v>43724000</v>
      </c>
      <c r="AN52" s="83">
        <f>+'1.Input IS Trend &amp; EPS'!BB17-SUMIF('1.Input NG Expense'!$AC$12:$AC$20,$A52,'1.Input NG Expense'!AJ$12:AJ$20)</f>
        <v>43585000</v>
      </c>
      <c r="AO52" s="83">
        <f>+'1.Input IS Trend &amp; EPS'!BC17-SUMIF('1.Input NG Expense'!$AC$12:$AC$20,$A52,'1.Input NG Expense'!AK$12:AK$20)</f>
        <v>0</v>
      </c>
      <c r="AP52" s="304">
        <f>SUM(AL52:AO52)</f>
        <v>134391000</v>
      </c>
    </row>
    <row r="53" spans="1:42" ht="15" customHeight="1" x14ac:dyDescent="0.25">
      <c r="A53" s="303" t="s">
        <v>187</v>
      </c>
      <c r="B53" s="304">
        <v>66789000</v>
      </c>
      <c r="C53" s="83">
        <v>13852000</v>
      </c>
      <c r="D53" s="83">
        <v>15136000</v>
      </c>
      <c r="E53" s="83">
        <v>12525000</v>
      </c>
      <c r="F53" s="83">
        <v>14662000</v>
      </c>
      <c r="G53" s="304">
        <v>56176000</v>
      </c>
      <c r="H53" s="83">
        <v>15302000</v>
      </c>
      <c r="I53" s="83">
        <v>19767000</v>
      </c>
      <c r="J53" s="83">
        <v>17071000</v>
      </c>
      <c r="K53" s="83">
        <v>17963000</v>
      </c>
      <c r="L53" s="304">
        <v>70103000</v>
      </c>
      <c r="M53" s="83">
        <v>20395000</v>
      </c>
      <c r="N53" s="83">
        <v>20654000</v>
      </c>
      <c r="O53" s="83">
        <v>18972000</v>
      </c>
      <c r="P53" s="83">
        <v>23653000</v>
      </c>
      <c r="Q53" s="304">
        <f>SUM(M53:P53)</f>
        <v>83674000</v>
      </c>
      <c r="R53" s="83">
        <v>17062000</v>
      </c>
      <c r="S53" s="83">
        <v>17892000</v>
      </c>
      <c r="T53" s="83">
        <v>17625000</v>
      </c>
      <c r="U53" s="83">
        <v>20713000</v>
      </c>
      <c r="V53" s="304">
        <f>SUM(R53:U53)</f>
        <v>73292000</v>
      </c>
      <c r="W53" s="83">
        <v>18726000</v>
      </c>
      <c r="X53" s="83">
        <v>18738000</v>
      </c>
      <c r="Y53" s="83">
        <v>21642000</v>
      </c>
      <c r="Z53" s="83">
        <v>23037000</v>
      </c>
      <c r="AA53" s="304">
        <f>SUM(W53:Z53)</f>
        <v>82143000</v>
      </c>
      <c r="AB53" s="83">
        <f>+'1.Input IS Trend &amp; EPS'!BL18-SUMIF('1.Input NG Expense'!$AC$12:$AC$20,$A53,'1.Input NG Expense'!AT$12:AT$20)</f>
        <v>21622000</v>
      </c>
      <c r="AC53" s="83">
        <f>+'1.Input IS Trend &amp; EPS'!BM18-SUMIF('1.Input NG Expense'!$AC$12:$AC$20,$A53,'1.Input NG Expense'!AU$12:AU$20)</f>
        <v>19944000</v>
      </c>
      <c r="AD53" s="83">
        <f>+'1.Input IS Trend &amp; EPS'!BN18-SUMIF('1.Input NG Expense'!$AC$12:$AC$20,$A53,'1.Input NG Expense'!AV$12:AV$20)</f>
        <v>20654000</v>
      </c>
      <c r="AE53" s="83">
        <f>+'1.Input IS Trend &amp; EPS'!BO18-SUMIF('1.Input NG Expense'!$AC$12:$AC$20,$A53,'1.Input NG Expense'!AW$12:AW$20)</f>
        <v>19459000</v>
      </c>
      <c r="AF53" s="304">
        <f>SUM(AB53:AE53)</f>
        <v>81679000</v>
      </c>
      <c r="AG53" s="83">
        <f>+'1.Input IS Trend &amp; EPS'!BF18-SUMIF('1.Input NG Expense'!$AC$12:$AC$20,$A53,'1.Input NG Expense'!AN$12:AN$20)</f>
        <v>20939000</v>
      </c>
      <c r="AH53" s="83">
        <f>+'1.Input IS Trend &amp; EPS'!BG18-SUMIF('1.Input NG Expense'!$AC$12:$AC$20,$A53,'1.Input NG Expense'!AO$12:AO$20)</f>
        <v>20982000</v>
      </c>
      <c r="AI53" s="83">
        <f>+'1.Input IS Trend &amp; EPS'!BH18-SUMIF('1.Input NG Expense'!$AC$12:$AC$20,$A53,'1.Input NG Expense'!AP$12:AP$20)</f>
        <v>21610000</v>
      </c>
      <c r="AJ53" s="83">
        <f>+'1.Input IS Trend &amp; EPS'!BI18-SUMIF('1.Input NG Expense'!$AC$12:$AC$20,$A53,'1.Input NG Expense'!AQ$12:AQ$20)</f>
        <v>23146000</v>
      </c>
      <c r="AK53" s="304">
        <f>SUM(AG53:AJ53)</f>
        <v>86677000</v>
      </c>
      <c r="AL53" s="83">
        <f>+'1.Input IS Trend &amp; EPS'!AZ18-SUMIF('1.Input NG Expense'!$AC$12:$AC$20,$A53,'1.Input NG Expense'!AH$12:AH$20)</f>
        <v>21870000</v>
      </c>
      <c r="AM53" s="83">
        <f>+'1.Input IS Trend &amp; EPS'!BA18-SUMIF('1.Input NG Expense'!$AC$12:$AC$20,$A53,'1.Input NG Expense'!AI$12:AI$20)</f>
        <v>22103000</v>
      </c>
      <c r="AN53" s="83">
        <f>+'1.Input IS Trend &amp; EPS'!BB18-SUMIF('1.Input NG Expense'!$AC$12:$AC$20,$A53,'1.Input NG Expense'!AJ$12:AJ$20)</f>
        <v>24052000</v>
      </c>
      <c r="AO53" s="83">
        <f>+'1.Input IS Trend &amp; EPS'!BC18-SUMIF('1.Input NG Expense'!$AC$12:$AC$20,$A53,'1.Input NG Expense'!AK$12:AK$20)</f>
        <v>0</v>
      </c>
      <c r="AP53" s="304">
        <f>SUM(AL53:AO53)</f>
        <v>68025000</v>
      </c>
    </row>
    <row r="54" spans="1:42" ht="15" customHeight="1" x14ac:dyDescent="0.25">
      <c r="A54" s="305" t="s">
        <v>188</v>
      </c>
      <c r="B54" s="297">
        <v>0</v>
      </c>
      <c r="C54" s="255">
        <v>0</v>
      </c>
      <c r="D54" s="255">
        <v>0</v>
      </c>
      <c r="E54" s="255">
        <v>0</v>
      </c>
      <c r="F54" s="255">
        <v>0</v>
      </c>
      <c r="G54" s="297">
        <v>0</v>
      </c>
      <c r="H54" s="255">
        <v>0</v>
      </c>
      <c r="I54" s="255">
        <v>0</v>
      </c>
      <c r="J54" s="255">
        <v>0</v>
      </c>
      <c r="K54" s="255">
        <v>0</v>
      </c>
      <c r="L54" s="297">
        <v>0</v>
      </c>
      <c r="M54" s="255">
        <v>0</v>
      </c>
      <c r="N54" s="255">
        <v>0</v>
      </c>
      <c r="O54" s="255">
        <v>0</v>
      </c>
      <c r="P54" s="255">
        <v>0</v>
      </c>
      <c r="Q54" s="297">
        <f>SUM(M54:P54)</f>
        <v>0</v>
      </c>
      <c r="R54" s="255">
        <v>0</v>
      </c>
      <c r="S54" s="255">
        <v>0</v>
      </c>
      <c r="T54" s="255">
        <v>0</v>
      </c>
      <c r="U54" s="255">
        <v>0</v>
      </c>
      <c r="V54" s="297">
        <f>SUM(R54:U54)</f>
        <v>0</v>
      </c>
      <c r="W54" s="255">
        <v>0</v>
      </c>
      <c r="X54" s="255">
        <v>0</v>
      </c>
      <c r="Y54" s="255">
        <v>0</v>
      </c>
      <c r="Z54" s="255">
        <v>0</v>
      </c>
      <c r="AA54" s="297">
        <f>SUM(W54:Z54)</f>
        <v>0</v>
      </c>
      <c r="AB54" s="255">
        <f>+'1.Input IS Trend &amp; EPS'!BL19-SUMIF('1.Input NG Expense'!$AC$12:$AC$20,$A54,'1.Input NG Expense'!AT$12:AT$20)</f>
        <v>0</v>
      </c>
      <c r="AC54" s="255">
        <f>+'1.Input IS Trend &amp; EPS'!BM19-SUMIF('1.Input NG Expense'!$AC$12:$AC$20,$A54,'1.Input NG Expense'!AU$12:AU$20)</f>
        <v>0</v>
      </c>
      <c r="AD54" s="255">
        <f>+'1.Input IS Trend &amp; EPS'!BN19-SUMIF('1.Input NG Expense'!$AC$12:$AC$20,$A54,'1.Input NG Expense'!AV$12:AV$20)</f>
        <v>0</v>
      </c>
      <c r="AE54" s="255">
        <f>+'1.Input IS Trend &amp; EPS'!BO19-SUMIF('1.Input NG Expense'!$AC$12:$AC$20,$A54,'1.Input NG Expense'!AW$12:AW$20)</f>
        <v>0</v>
      </c>
      <c r="AF54" s="297">
        <f>SUM(AB54:AE54)</f>
        <v>0</v>
      </c>
      <c r="AG54" s="255">
        <f>+'1.Input IS Trend &amp; EPS'!BF19-SUMIF('1.Input NG Expense'!$AC$12:$AC$20,$A54,'1.Input NG Expense'!AN$12:AN$20)</f>
        <v>0</v>
      </c>
      <c r="AH54" s="255">
        <f>+'1.Input IS Trend &amp; EPS'!BG19-SUMIF('1.Input NG Expense'!$AC$12:$AC$20,$A54,'1.Input NG Expense'!AO$12:AO$20)</f>
        <v>0</v>
      </c>
      <c r="AI54" s="255">
        <f>+'1.Input IS Trend &amp; EPS'!BH19-SUMIF('1.Input NG Expense'!$AC$12:$AC$20,$A54,'1.Input NG Expense'!AP$12:AP$20)</f>
        <v>0</v>
      </c>
      <c r="AJ54" s="255">
        <f>+'1.Input IS Trend &amp; EPS'!BI19-SUMIF('1.Input NG Expense'!$AC$12:$AC$20,$A54,'1.Input NG Expense'!AQ$12:AQ$20)</f>
        <v>0</v>
      </c>
      <c r="AK54" s="297">
        <f>SUM(AG54:AJ54)</f>
        <v>0</v>
      </c>
      <c r="AL54" s="255">
        <f>+'1.Input IS Trend &amp; EPS'!AZ19-SUMIF('1.Input NG Expense'!$AC$12:$AC$20,$A54,'1.Input NG Expense'!AH$12:AH$20)</f>
        <v>0</v>
      </c>
      <c r="AM54" s="255">
        <f>+'1.Input IS Trend &amp; EPS'!BA19-SUMIF('1.Input NG Expense'!$AC$12:$AC$20,$A54,'1.Input NG Expense'!AI$12:AI$20)</f>
        <v>0</v>
      </c>
      <c r="AN54" s="255">
        <f>+'1.Input IS Trend &amp; EPS'!BB19-SUMIF('1.Input NG Expense'!$AC$12:$AC$20,$A54,'1.Input NG Expense'!AJ$12:AJ$20)</f>
        <v>0</v>
      </c>
      <c r="AO54" s="255">
        <f>+'1.Input IS Trend &amp; EPS'!BC19-SUMIF('1.Input NG Expense'!$AC$12:$AC$20,$A54,'1.Input NG Expense'!AK$12:AK$20)</f>
        <v>0</v>
      </c>
      <c r="AP54" s="297">
        <f>SUM(AL54:AO54)</f>
        <v>0</v>
      </c>
    </row>
    <row r="55" spans="1:42" ht="15" customHeight="1" x14ac:dyDescent="0.25">
      <c r="A55" s="50" t="s">
        <v>189</v>
      </c>
      <c r="B55" s="299">
        <f t="shared" ref="B55:AP55" si="10">SUM(B51:B54)</f>
        <v>157408000</v>
      </c>
      <c r="C55" s="258">
        <f t="shared" si="10"/>
        <v>43636000</v>
      </c>
      <c r="D55" s="258">
        <f t="shared" si="10"/>
        <v>47350000</v>
      </c>
      <c r="E55" s="258">
        <f t="shared" si="10"/>
        <v>45240000</v>
      </c>
      <c r="F55" s="258">
        <f t="shared" si="10"/>
        <v>50277000</v>
      </c>
      <c r="G55" s="299">
        <f t="shared" si="10"/>
        <v>186505000</v>
      </c>
      <c r="H55" s="258">
        <f t="shared" si="10"/>
        <v>51332000</v>
      </c>
      <c r="I55" s="258">
        <f t="shared" si="10"/>
        <v>59048000</v>
      </c>
      <c r="J55" s="258">
        <f t="shared" si="10"/>
        <v>62190000</v>
      </c>
      <c r="K55" s="258">
        <f t="shared" si="10"/>
        <v>69575000</v>
      </c>
      <c r="L55" s="299">
        <f t="shared" si="10"/>
        <v>242143000</v>
      </c>
      <c r="M55" s="258">
        <f t="shared" si="10"/>
        <v>73890000</v>
      </c>
      <c r="N55" s="258">
        <f t="shared" si="10"/>
        <v>76199000</v>
      </c>
      <c r="O55" s="258">
        <f t="shared" si="10"/>
        <v>76236000</v>
      </c>
      <c r="P55" s="258">
        <f t="shared" si="10"/>
        <v>90949000</v>
      </c>
      <c r="Q55" s="299">
        <f t="shared" si="10"/>
        <v>317274000</v>
      </c>
      <c r="R55" s="258">
        <f t="shared" si="10"/>
        <v>69669000</v>
      </c>
      <c r="S55" s="258">
        <f t="shared" si="10"/>
        <v>73686000</v>
      </c>
      <c r="T55" s="258">
        <f t="shared" si="10"/>
        <v>75549000</v>
      </c>
      <c r="U55" s="258">
        <f t="shared" si="10"/>
        <v>87681000</v>
      </c>
      <c r="V55" s="299">
        <f t="shared" si="10"/>
        <v>306585000</v>
      </c>
      <c r="W55" s="258">
        <f t="shared" si="10"/>
        <v>83340000</v>
      </c>
      <c r="X55" s="258">
        <f t="shared" si="10"/>
        <v>80102000</v>
      </c>
      <c r="Y55" s="258">
        <f t="shared" si="10"/>
        <v>93243000</v>
      </c>
      <c r="Z55" s="258">
        <f t="shared" si="10"/>
        <v>105458000</v>
      </c>
      <c r="AA55" s="299">
        <f t="shared" si="10"/>
        <v>362143000</v>
      </c>
      <c r="AB55" s="258">
        <f t="shared" si="10"/>
        <v>103023000</v>
      </c>
      <c r="AC55" s="258">
        <f t="shared" si="10"/>
        <v>93556000</v>
      </c>
      <c r="AD55" s="258">
        <f t="shared" si="10"/>
        <v>95006000</v>
      </c>
      <c r="AE55" s="258">
        <f t="shared" si="10"/>
        <v>96890000</v>
      </c>
      <c r="AF55" s="299">
        <f t="shared" si="10"/>
        <v>388475000</v>
      </c>
      <c r="AG55" s="258">
        <f t="shared" si="10"/>
        <v>91524000</v>
      </c>
      <c r="AH55" s="258">
        <f t="shared" si="10"/>
        <v>88771000</v>
      </c>
      <c r="AI55" s="258">
        <f t="shared" si="10"/>
        <v>94552000</v>
      </c>
      <c r="AJ55" s="258">
        <f t="shared" si="10"/>
        <v>112587000</v>
      </c>
      <c r="AK55" s="299">
        <f t="shared" si="10"/>
        <v>387434000</v>
      </c>
      <c r="AL55" s="258">
        <f t="shared" si="10"/>
        <v>102865000</v>
      </c>
      <c r="AM55" s="258">
        <f t="shared" si="10"/>
        <v>98796000</v>
      </c>
      <c r="AN55" s="258">
        <f t="shared" si="10"/>
        <v>100287000</v>
      </c>
      <c r="AO55" s="258">
        <f t="shared" si="10"/>
        <v>0</v>
      </c>
      <c r="AP55" s="299">
        <f t="shared" si="10"/>
        <v>301948000</v>
      </c>
    </row>
    <row r="56" spans="1:42" ht="16.649999999999999" customHeight="1" x14ac:dyDescent="0.25">
      <c r="B56" s="319"/>
      <c r="G56" s="319"/>
      <c r="L56" s="319"/>
      <c r="Q56" s="319"/>
      <c r="V56" s="319"/>
      <c r="AA56" s="319"/>
      <c r="AF56" s="319"/>
      <c r="AK56" s="319"/>
      <c r="AP56" s="319"/>
    </row>
    <row r="57" spans="1:42" ht="16.649999999999999" customHeight="1" x14ac:dyDescent="0.25">
      <c r="A57" s="1" t="s">
        <v>413</v>
      </c>
      <c r="B57" s="304">
        <f t="shared" ref="B57:AP57" si="11">+B47-B55</f>
        <v>-59688000</v>
      </c>
      <c r="C57" s="83">
        <f t="shared" si="11"/>
        <v>-14343000</v>
      </c>
      <c r="D57" s="83">
        <f t="shared" si="11"/>
        <v>-10678000</v>
      </c>
      <c r="E57" s="83">
        <f t="shared" si="11"/>
        <v>-4007000</v>
      </c>
      <c r="F57" s="83">
        <f t="shared" si="11"/>
        <v>-7224000</v>
      </c>
      <c r="G57" s="304">
        <f t="shared" si="11"/>
        <v>-36254000</v>
      </c>
      <c r="H57" s="83">
        <f t="shared" si="11"/>
        <v>-5833000</v>
      </c>
      <c r="I57" s="83">
        <f t="shared" si="11"/>
        <v>-14372000</v>
      </c>
      <c r="J57" s="83">
        <f t="shared" si="11"/>
        <v>-11069000</v>
      </c>
      <c r="K57" s="83">
        <f t="shared" si="11"/>
        <v>-22430000</v>
      </c>
      <c r="L57" s="304">
        <f t="shared" si="11"/>
        <v>-53703000</v>
      </c>
      <c r="M57" s="83">
        <f t="shared" si="11"/>
        <v>-22440000</v>
      </c>
      <c r="N57" s="83">
        <f t="shared" si="11"/>
        <v>-19842000</v>
      </c>
      <c r="O57" s="83">
        <f t="shared" si="11"/>
        <v>-5588000</v>
      </c>
      <c r="P57" s="83">
        <f t="shared" si="11"/>
        <v>-15993000</v>
      </c>
      <c r="Q57" s="304">
        <f t="shared" si="11"/>
        <v>-63863000</v>
      </c>
      <c r="R57" s="83">
        <f t="shared" si="11"/>
        <v>1384000</v>
      </c>
      <c r="S57" s="83">
        <f t="shared" si="11"/>
        <v>1341000</v>
      </c>
      <c r="T57" s="83">
        <f t="shared" si="11"/>
        <v>12320000</v>
      </c>
      <c r="U57" s="83">
        <f t="shared" si="11"/>
        <v>738000</v>
      </c>
      <c r="V57" s="304">
        <f t="shared" si="11"/>
        <v>15783000</v>
      </c>
      <c r="W57" s="83">
        <f t="shared" si="11"/>
        <v>6818000</v>
      </c>
      <c r="X57" s="83">
        <f t="shared" si="11"/>
        <v>17669000</v>
      </c>
      <c r="Y57" s="83">
        <f t="shared" si="11"/>
        <v>14619000</v>
      </c>
      <c r="Z57" s="83">
        <f t="shared" si="11"/>
        <v>2803000</v>
      </c>
      <c r="AA57" s="304">
        <f t="shared" si="11"/>
        <v>41909000</v>
      </c>
      <c r="AB57" s="83">
        <f t="shared" si="11"/>
        <v>4005000</v>
      </c>
      <c r="AC57" s="83">
        <f t="shared" si="11"/>
        <v>17169000</v>
      </c>
      <c r="AD57" s="83">
        <f t="shared" si="11"/>
        <v>25739000</v>
      </c>
      <c r="AE57" s="83">
        <f t="shared" si="11"/>
        <v>14253000</v>
      </c>
      <c r="AF57" s="304">
        <f t="shared" si="11"/>
        <v>61166000</v>
      </c>
      <c r="AG57" s="83">
        <f t="shared" si="11"/>
        <v>20843000</v>
      </c>
      <c r="AH57" s="83">
        <f t="shared" si="11"/>
        <v>31734000</v>
      </c>
      <c r="AI57" s="83">
        <f t="shared" si="11"/>
        <v>36381000</v>
      </c>
      <c r="AJ57" s="83">
        <f t="shared" si="11"/>
        <v>16118000</v>
      </c>
      <c r="AK57" s="304">
        <f t="shared" si="11"/>
        <v>105076000</v>
      </c>
      <c r="AL57" s="83">
        <f t="shared" si="11"/>
        <v>26789000</v>
      </c>
      <c r="AM57" s="83">
        <f t="shared" si="11"/>
        <v>40700000</v>
      </c>
      <c r="AN57" s="83">
        <f t="shared" si="11"/>
        <v>45268000</v>
      </c>
      <c r="AO57" s="83">
        <f t="shared" si="11"/>
        <v>0</v>
      </c>
      <c r="AP57" s="304">
        <f t="shared" si="11"/>
        <v>112757000</v>
      </c>
    </row>
    <row r="58" spans="1:42" ht="16.649999999999999" customHeight="1" x14ac:dyDescent="0.3">
      <c r="A58" s="300" t="s">
        <v>433</v>
      </c>
      <c r="B58" s="301">
        <f t="shared" ref="B58:AK58" si="12">+B57/B44</f>
        <v>-0.34154268711375602</v>
      </c>
      <c r="C58" s="302">
        <f t="shared" si="12"/>
        <v>-0.3067562076266655</v>
      </c>
      <c r="D58" s="302">
        <f t="shared" si="12"/>
        <v>-0.19769314794586487</v>
      </c>
      <c r="E58" s="302">
        <f t="shared" si="12"/>
        <v>-6.7776255476057576E-2</v>
      </c>
      <c r="F58" s="302">
        <f t="shared" si="12"/>
        <v>-0.11998006975585451</v>
      </c>
      <c r="G58" s="301">
        <f t="shared" si="12"/>
        <v>-0.1647152897987742</v>
      </c>
      <c r="H58" s="302">
        <f t="shared" si="12"/>
        <v>-9.3371324294472632E-2</v>
      </c>
      <c r="I58" s="302">
        <f t="shared" si="12"/>
        <v>-0.22174905881626858</v>
      </c>
      <c r="J58" s="302">
        <f t="shared" si="12"/>
        <v>-0.13832618937528898</v>
      </c>
      <c r="K58" s="302">
        <f t="shared" si="12"/>
        <v>-0.28640379998978499</v>
      </c>
      <c r="L58" s="301">
        <f t="shared" si="12"/>
        <v>-0.18802254744065541</v>
      </c>
      <c r="M58" s="302">
        <f t="shared" si="12"/>
        <v>-0.27196373816824421</v>
      </c>
      <c r="N58" s="302">
        <f t="shared" si="12"/>
        <v>-0.22011692532975383</v>
      </c>
      <c r="O58" s="302">
        <f t="shared" si="12"/>
        <v>-5.4668010213565259E-2</v>
      </c>
      <c r="P58" s="302">
        <f t="shared" si="12"/>
        <v>-0.1513041503864675</v>
      </c>
      <c r="Q58" s="301">
        <f t="shared" si="12"/>
        <v>-0.1678079312193225</v>
      </c>
      <c r="R58" s="302">
        <f t="shared" si="12"/>
        <v>1.3918360368876776E-2</v>
      </c>
      <c r="S58" s="302">
        <f t="shared" si="12"/>
        <v>1.2812795597213862E-2</v>
      </c>
      <c r="T58" s="302">
        <f t="shared" si="12"/>
        <v>0.10287842475762611</v>
      </c>
      <c r="U58" s="302">
        <f t="shared" si="12"/>
        <v>6.1925739458779105E-3</v>
      </c>
      <c r="V58" s="301">
        <f t="shared" si="12"/>
        <v>3.5625448619268398E-2</v>
      </c>
      <c r="W58" s="302">
        <f t="shared" si="12"/>
        <v>5.7275827886893262E-2</v>
      </c>
      <c r="X58" s="302">
        <f t="shared" si="12"/>
        <v>0.13880901877602325</v>
      </c>
      <c r="Y58" s="302">
        <f t="shared" si="12"/>
        <v>0.10397285994708542</v>
      </c>
      <c r="Z58" s="302">
        <f t="shared" si="12"/>
        <v>1.9777738578232493E-2</v>
      </c>
      <c r="AA58" s="301">
        <f t="shared" si="12"/>
        <v>7.9274463404438042E-2</v>
      </c>
      <c r="AB58" s="302">
        <f t="shared" si="12"/>
        <v>2.815604282811808E-2</v>
      </c>
      <c r="AC58" s="302">
        <f t="shared" si="12"/>
        <v>0.11671731283013481</v>
      </c>
      <c r="AD58" s="302">
        <f t="shared" si="12"/>
        <v>0.16227342937301012</v>
      </c>
      <c r="AE58" s="302">
        <f t="shared" si="12"/>
        <v>9.5898429615275921E-2</v>
      </c>
      <c r="AF58" s="301">
        <f t="shared" si="12"/>
        <v>0.10252722588474697</v>
      </c>
      <c r="AG58" s="302">
        <f t="shared" si="12"/>
        <v>0.1352835417897176</v>
      </c>
      <c r="AH58" s="302">
        <f t="shared" si="12"/>
        <v>0.19849753864052894</v>
      </c>
      <c r="AI58" s="302">
        <f t="shared" si="12"/>
        <v>0.20924374097740253</v>
      </c>
      <c r="AJ58" s="302">
        <f t="shared" si="12"/>
        <v>9.3790005353443659E-2</v>
      </c>
      <c r="AK58" s="301">
        <f t="shared" si="12"/>
        <v>0.15928787665179539</v>
      </c>
      <c r="AL58" s="302">
        <f>IFERROR(+AL57/AL44,0)</f>
        <v>0.15224396315092548</v>
      </c>
      <c r="AM58" s="302">
        <f>IFERROR(+AM57/AM44,0)</f>
        <v>0.21942711730994216</v>
      </c>
      <c r="AN58" s="302">
        <f>IFERROR(+AN57/AN44,0)</f>
        <v>0.23165414611180479</v>
      </c>
      <c r="AO58" s="302">
        <f>IFERROR(+AO57/AO44,0)</f>
        <v>0</v>
      </c>
      <c r="AP58" s="301">
        <f>+AP57/AP44</f>
        <v>0.20248861465082535</v>
      </c>
    </row>
    <row r="59" spans="1:42" ht="16.649999999999999" customHeight="1" x14ac:dyDescent="0.25">
      <c r="B59" s="319"/>
      <c r="G59" s="319"/>
      <c r="L59" s="319"/>
      <c r="Q59" s="319"/>
      <c r="V59" s="319"/>
      <c r="AA59" s="319"/>
      <c r="AF59" s="319"/>
      <c r="AK59" s="319"/>
      <c r="AP59" s="319"/>
    </row>
    <row r="60" spans="1:42" ht="16.649999999999999" customHeight="1" x14ac:dyDescent="0.25">
      <c r="A60" s="293" t="s">
        <v>444</v>
      </c>
      <c r="B60" s="297">
        <v>652000</v>
      </c>
      <c r="C60" s="255">
        <v>-580000</v>
      </c>
      <c r="D60" s="255">
        <v>263000</v>
      </c>
      <c r="E60" s="255">
        <v>432000</v>
      </c>
      <c r="F60" s="255">
        <v>387000</v>
      </c>
      <c r="G60" s="297">
        <v>502000</v>
      </c>
      <c r="H60" s="255">
        <v>356000</v>
      </c>
      <c r="I60" s="255">
        <v>-281000</v>
      </c>
      <c r="J60" s="255">
        <v>10404000</v>
      </c>
      <c r="K60" s="255">
        <v>8311000</v>
      </c>
      <c r="L60" s="297">
        <v>18790000</v>
      </c>
      <c r="M60" s="255">
        <v>5882000</v>
      </c>
      <c r="N60" s="255">
        <v>4780000</v>
      </c>
      <c r="O60" s="255">
        <v>3158000</v>
      </c>
      <c r="P60" s="255">
        <v>1565000</v>
      </c>
      <c r="Q60" s="297">
        <f>SUM(M60:P60)</f>
        <v>15385000</v>
      </c>
      <c r="R60" s="255">
        <v>463000</v>
      </c>
      <c r="S60" s="255">
        <v>-225000</v>
      </c>
      <c r="T60" s="255">
        <v>-86000</v>
      </c>
      <c r="U60" s="255">
        <v>-404000</v>
      </c>
      <c r="V60" s="297">
        <f>SUM(R60:U60)</f>
        <v>-252000</v>
      </c>
      <c r="W60" s="255">
        <v>549000</v>
      </c>
      <c r="X60" s="255">
        <v>150000</v>
      </c>
      <c r="Y60" s="255">
        <v>-424000</v>
      </c>
      <c r="Z60" s="255">
        <v>-47000</v>
      </c>
      <c r="AA60" s="297">
        <f>SUM(W60:Z60)</f>
        <v>228000</v>
      </c>
      <c r="AB60" s="255">
        <f>+'1.Input IS Trend &amp; EPS'!BL26+'1.Input NG Expense'!AT21</f>
        <v>699000</v>
      </c>
      <c r="AC60" s="255">
        <f>+'1.Input IS Trend &amp; EPS'!BM26+'1.Input NG Expense'!AU21</f>
        <v>2248000</v>
      </c>
      <c r="AD60" s="255">
        <f>+'1.Input IS Trend &amp; EPS'!BN26+'1.Input NG Expense'!AV21</f>
        <v>-736000</v>
      </c>
      <c r="AE60" s="255">
        <f>+'1.Input IS Trend &amp; EPS'!BO26+'1.Input NG Expense'!AW21</f>
        <v>4735000</v>
      </c>
      <c r="AF60" s="297">
        <f>SUM(AB60:AE60)</f>
        <v>6946000</v>
      </c>
      <c r="AG60" s="255">
        <f>+'1.Input IS Trend &amp; EPS'!BF26+'1.Input NG Expense'!AN21</f>
        <v>4849000</v>
      </c>
      <c r="AH60" s="255">
        <f>+'1.Input IS Trend &amp; EPS'!BG26+'1.Input NG Expense'!AO21</f>
        <v>6431000</v>
      </c>
      <c r="AI60" s="255">
        <f>+'1.Input IS Trend &amp; EPS'!BH26+'1.Input NG Expense'!AP21</f>
        <v>6607000</v>
      </c>
      <c r="AJ60" s="255">
        <f>+'1.Input IS Trend &amp; EPS'!BI26+'1.Input NG Expense'!AQ21</f>
        <v>5070000</v>
      </c>
      <c r="AK60" s="297">
        <f>SUM(AG60:AJ60)</f>
        <v>22957000</v>
      </c>
      <c r="AL60" s="255">
        <f>+'1.Input IS Trend &amp; EPS'!AZ26+'1.Input NG Expense'!AH21</f>
        <v>4444000</v>
      </c>
      <c r="AM60" s="255">
        <f>+'1.Input IS Trend &amp; EPS'!BA26+'1.Input NG Expense'!AI21</f>
        <v>4197000</v>
      </c>
      <c r="AN60" s="255">
        <f>+'1.Input IS Trend &amp; EPS'!BB26+'1.Input NG Expense'!AJ21</f>
        <v>4033000</v>
      </c>
      <c r="AO60" s="255">
        <f>+'1.Input IS Trend &amp; EPS'!BC26+'1.Input NG Expense'!AK21</f>
        <v>0</v>
      </c>
      <c r="AP60" s="297">
        <f>SUM(AL60:AO60)</f>
        <v>12674000</v>
      </c>
    </row>
    <row r="61" spans="1:42" ht="16.649999999999999" customHeight="1" x14ac:dyDescent="0.25">
      <c r="A61" s="50"/>
      <c r="B61" s="189"/>
      <c r="C61" s="50"/>
      <c r="D61" s="50"/>
      <c r="E61" s="50"/>
      <c r="F61" s="50"/>
      <c r="G61" s="189"/>
      <c r="H61" s="50"/>
      <c r="I61" s="50"/>
      <c r="J61" s="50"/>
      <c r="K61" s="50"/>
      <c r="L61" s="189"/>
      <c r="M61" s="50"/>
      <c r="N61" s="50"/>
      <c r="O61" s="50"/>
      <c r="P61" s="50"/>
      <c r="Q61" s="189"/>
      <c r="R61" s="50"/>
      <c r="S61" s="50"/>
      <c r="T61" s="50"/>
      <c r="U61" s="50"/>
      <c r="V61" s="189"/>
      <c r="W61" s="50"/>
      <c r="X61" s="50"/>
      <c r="Y61" s="50"/>
      <c r="Z61" s="50"/>
      <c r="AA61" s="189"/>
      <c r="AB61" s="50"/>
      <c r="AC61" s="50"/>
      <c r="AD61" s="50"/>
      <c r="AE61" s="50"/>
      <c r="AF61" s="189"/>
      <c r="AG61" s="50"/>
      <c r="AH61" s="50"/>
      <c r="AI61" s="50"/>
      <c r="AJ61" s="50"/>
      <c r="AK61" s="189"/>
      <c r="AL61" s="50"/>
      <c r="AM61" s="50"/>
      <c r="AN61" s="50"/>
      <c r="AO61" s="50"/>
      <c r="AP61" s="189"/>
    </row>
    <row r="62" spans="1:42" ht="27.5" customHeight="1" x14ac:dyDescent="0.25">
      <c r="A62" s="1" t="s">
        <v>303</v>
      </c>
      <c r="B62" s="304">
        <f>+B57+B60</f>
        <v>-59036000</v>
      </c>
      <c r="C62" s="83">
        <f>+C57+C60</f>
        <v>-14923000</v>
      </c>
      <c r="D62" s="83">
        <f>+D57+D60</f>
        <v>-10415000</v>
      </c>
      <c r="E62" s="83">
        <f>+E57+E60</f>
        <v>-3575000</v>
      </c>
      <c r="F62" s="83">
        <v>-6836000</v>
      </c>
      <c r="G62" s="304">
        <v>-35751000</v>
      </c>
      <c r="H62" s="83">
        <f>+H57+H60</f>
        <v>-5477000</v>
      </c>
      <c r="I62" s="83">
        <f>+I57+I60</f>
        <v>-14653000</v>
      </c>
      <c r="J62" s="83">
        <f>+J57+J60</f>
        <v>-665000</v>
      </c>
      <c r="K62" s="83">
        <f>+K57+K60</f>
        <v>-14119000</v>
      </c>
      <c r="L62" s="304">
        <v>-34914000</v>
      </c>
      <c r="M62" s="83">
        <f t="shared" ref="M62:AP62" si="13">+M57+M60</f>
        <v>-16558000</v>
      </c>
      <c r="N62" s="83">
        <f t="shared" si="13"/>
        <v>-15062000</v>
      </c>
      <c r="O62" s="83">
        <f t="shared" si="13"/>
        <v>-2430000</v>
      </c>
      <c r="P62" s="83">
        <f t="shared" si="13"/>
        <v>-14428000</v>
      </c>
      <c r="Q62" s="304">
        <f t="shared" si="13"/>
        <v>-48478000</v>
      </c>
      <c r="R62" s="83">
        <f t="shared" si="13"/>
        <v>1847000</v>
      </c>
      <c r="S62" s="83">
        <f t="shared" si="13"/>
        <v>1116000</v>
      </c>
      <c r="T62" s="83">
        <f t="shared" si="13"/>
        <v>12234000</v>
      </c>
      <c r="U62" s="83">
        <f t="shared" si="13"/>
        <v>334000</v>
      </c>
      <c r="V62" s="304">
        <f t="shared" si="13"/>
        <v>15531000</v>
      </c>
      <c r="W62" s="83">
        <f t="shared" si="13"/>
        <v>7367000</v>
      </c>
      <c r="X62" s="83">
        <f t="shared" si="13"/>
        <v>17819000</v>
      </c>
      <c r="Y62" s="83">
        <f t="shared" si="13"/>
        <v>14195000</v>
      </c>
      <c r="Z62" s="83">
        <f t="shared" si="13"/>
        <v>2756000</v>
      </c>
      <c r="AA62" s="304">
        <f t="shared" si="13"/>
        <v>42137000</v>
      </c>
      <c r="AB62" s="83">
        <f t="shared" si="13"/>
        <v>4704000</v>
      </c>
      <c r="AC62" s="83">
        <f t="shared" si="13"/>
        <v>19417000</v>
      </c>
      <c r="AD62" s="83">
        <f t="shared" si="13"/>
        <v>25003000</v>
      </c>
      <c r="AE62" s="83">
        <f t="shared" si="13"/>
        <v>18988000</v>
      </c>
      <c r="AF62" s="304">
        <f t="shared" si="13"/>
        <v>68112000</v>
      </c>
      <c r="AG62" s="83">
        <f t="shared" si="13"/>
        <v>25692000</v>
      </c>
      <c r="AH62" s="83">
        <f t="shared" si="13"/>
        <v>38165000</v>
      </c>
      <c r="AI62" s="83">
        <f t="shared" si="13"/>
        <v>42988000</v>
      </c>
      <c r="AJ62" s="83">
        <f t="shared" si="13"/>
        <v>21188000</v>
      </c>
      <c r="AK62" s="304">
        <f t="shared" si="13"/>
        <v>128033000</v>
      </c>
      <c r="AL62" s="83">
        <f t="shared" si="13"/>
        <v>31233000</v>
      </c>
      <c r="AM62" s="83">
        <f t="shared" si="13"/>
        <v>44897000</v>
      </c>
      <c r="AN62" s="83">
        <f t="shared" si="13"/>
        <v>49301000</v>
      </c>
      <c r="AO62" s="83">
        <f t="shared" si="13"/>
        <v>0</v>
      </c>
      <c r="AP62" s="304">
        <f t="shared" si="13"/>
        <v>125431000</v>
      </c>
    </row>
    <row r="63" spans="1:42" ht="16.649999999999999" customHeight="1" x14ac:dyDescent="0.25">
      <c r="B63" s="319"/>
      <c r="G63" s="319"/>
      <c r="L63" s="319"/>
      <c r="Q63" s="319"/>
      <c r="V63" s="319"/>
      <c r="AA63" s="319"/>
      <c r="AF63" s="319"/>
      <c r="AK63" s="319"/>
      <c r="AP63" s="319"/>
    </row>
    <row r="64" spans="1:42" ht="16.649999999999999" customHeight="1" x14ac:dyDescent="0.25">
      <c r="A64" s="293" t="s">
        <v>436</v>
      </c>
      <c r="B64" s="297">
        <v>-22797000</v>
      </c>
      <c r="C64" s="255">
        <v>-4556000</v>
      </c>
      <c r="D64" s="255">
        <v>-3164000</v>
      </c>
      <c r="E64" s="255">
        <v>-2514000</v>
      </c>
      <c r="F64" s="255">
        <v>-2352000</v>
      </c>
      <c r="G64" s="297">
        <v>-12586000</v>
      </c>
      <c r="H64" s="255">
        <v>-1078000</v>
      </c>
      <c r="I64" s="255">
        <v>-3790000</v>
      </c>
      <c r="J64" s="255">
        <v>-2941000</v>
      </c>
      <c r="K64" s="255">
        <v>-5155000</v>
      </c>
      <c r="L64" s="297">
        <v>-12964000</v>
      </c>
      <c r="M64" s="255">
        <v>-216000</v>
      </c>
      <c r="N64" s="255">
        <v>190000</v>
      </c>
      <c r="O64" s="255">
        <v>-227000</v>
      </c>
      <c r="P64" s="255">
        <v>-11199000</v>
      </c>
      <c r="Q64" s="297">
        <f>SUM(M64:P64)</f>
        <v>-11452000</v>
      </c>
      <c r="R64" s="255">
        <v>934000</v>
      </c>
      <c r="S64" s="255">
        <v>-1291000</v>
      </c>
      <c r="T64" s="255">
        <v>2347000</v>
      </c>
      <c r="U64" s="255">
        <v>-2628000</v>
      </c>
      <c r="V64" s="297">
        <f>SUM(R64:U64)</f>
        <v>-638000</v>
      </c>
      <c r="W64" s="255">
        <v>865000</v>
      </c>
      <c r="X64" s="255">
        <v>-12000</v>
      </c>
      <c r="Y64" s="255">
        <v>4271000</v>
      </c>
      <c r="Z64" s="255">
        <v>3391000</v>
      </c>
      <c r="AA64" s="297">
        <f>SUM(W64:Z64)</f>
        <v>8515000</v>
      </c>
      <c r="AB64" s="255">
        <f>+'1.Input NG EPS trend'!AL31</f>
        <v>1237000</v>
      </c>
      <c r="AC64" s="255">
        <f>+'1.Input NG EPS trend'!AM31</f>
        <v>4557000</v>
      </c>
      <c r="AD64" s="255">
        <f>+'1.Input NG EPS trend'!AN31</f>
        <v>6468000</v>
      </c>
      <c r="AE64" s="255">
        <f>+'1.Input NG EPS trend'!AO31</f>
        <v>-2141000</v>
      </c>
      <c r="AF64" s="297">
        <f>SUM(AB64:AE64)</f>
        <v>10121000</v>
      </c>
      <c r="AG64" s="255">
        <f>+'1.Input NG EPS trend'!AF31</f>
        <v>6167000</v>
      </c>
      <c r="AH64" s="255">
        <f>+'1.Input NG EPS trend'!AG31</f>
        <v>9036000</v>
      </c>
      <c r="AI64" s="255">
        <f>+'1.Input NG EPS trend'!AH31</f>
        <v>10732000</v>
      </c>
      <c r="AJ64" s="255">
        <f>+'1.Input NG EPS trend'!AI31</f>
        <v>3947000</v>
      </c>
      <c r="AK64" s="297">
        <f>SUM(AG64:AJ64)</f>
        <v>29882000</v>
      </c>
      <c r="AL64" s="255">
        <f>+'1.Input NG EPS trend'!Z31</f>
        <v>7371000</v>
      </c>
      <c r="AM64" s="255">
        <f>+'1.Input NG EPS trend'!AA31</f>
        <v>10745000</v>
      </c>
      <c r="AN64" s="255">
        <f>+'1.Input NG EPS trend'!AB31</f>
        <v>12421000</v>
      </c>
      <c r="AO64" s="255">
        <f>+'1.Input NG EPS trend'!AC31</f>
        <v>0</v>
      </c>
      <c r="AP64" s="297">
        <f>SUM(AL64:AO64)</f>
        <v>30537000</v>
      </c>
    </row>
    <row r="65" spans="1:42" ht="16.649999999999999" customHeight="1" x14ac:dyDescent="0.25">
      <c r="A65" s="50"/>
      <c r="B65" s="189"/>
      <c r="C65" s="50"/>
      <c r="D65" s="50"/>
      <c r="E65" s="50"/>
      <c r="F65" s="50"/>
      <c r="G65" s="189"/>
      <c r="H65" s="50"/>
      <c r="I65" s="50"/>
      <c r="J65" s="50"/>
      <c r="K65" s="50"/>
      <c r="L65" s="189"/>
      <c r="M65" s="50"/>
      <c r="N65" s="50"/>
      <c r="O65" s="50"/>
      <c r="P65" s="50"/>
      <c r="Q65" s="189"/>
      <c r="R65" s="50"/>
      <c r="S65" s="50"/>
      <c r="T65" s="50"/>
      <c r="U65" s="50"/>
      <c r="V65" s="189"/>
      <c r="W65" s="50"/>
      <c r="X65" s="50"/>
      <c r="Y65" s="50"/>
      <c r="Z65" s="50"/>
      <c r="AA65" s="189"/>
      <c r="AB65" s="50"/>
      <c r="AC65" s="50"/>
      <c r="AD65" s="50"/>
      <c r="AE65" s="50"/>
      <c r="AF65" s="189"/>
      <c r="AG65" s="50"/>
      <c r="AH65" s="50"/>
      <c r="AI65" s="50"/>
      <c r="AJ65" s="50"/>
      <c r="AK65" s="189"/>
      <c r="AL65" s="50"/>
      <c r="AM65" s="50"/>
      <c r="AN65" s="50"/>
      <c r="AO65" s="50"/>
      <c r="AP65" s="189"/>
    </row>
    <row r="66" spans="1:42" ht="27.5" customHeight="1" x14ac:dyDescent="0.25">
      <c r="A66" s="306" t="s">
        <v>437</v>
      </c>
      <c r="B66" s="317">
        <f t="shared" ref="B66:AP66" si="14">+B62-B64</f>
        <v>-36239000</v>
      </c>
      <c r="C66" s="318">
        <f t="shared" si="14"/>
        <v>-10367000</v>
      </c>
      <c r="D66" s="318">
        <f t="shared" si="14"/>
        <v>-7251000</v>
      </c>
      <c r="E66" s="318">
        <f t="shared" si="14"/>
        <v>-1061000</v>
      </c>
      <c r="F66" s="318">
        <f t="shared" si="14"/>
        <v>-4484000</v>
      </c>
      <c r="G66" s="317">
        <f t="shared" si="14"/>
        <v>-23165000</v>
      </c>
      <c r="H66" s="318">
        <f t="shared" si="14"/>
        <v>-4399000</v>
      </c>
      <c r="I66" s="318">
        <f t="shared" si="14"/>
        <v>-10863000</v>
      </c>
      <c r="J66" s="318">
        <f t="shared" si="14"/>
        <v>2276000</v>
      </c>
      <c r="K66" s="318">
        <f t="shared" si="14"/>
        <v>-8964000</v>
      </c>
      <c r="L66" s="317">
        <f t="shared" si="14"/>
        <v>-21950000</v>
      </c>
      <c r="M66" s="318">
        <f t="shared" si="14"/>
        <v>-16342000</v>
      </c>
      <c r="N66" s="318">
        <f t="shared" si="14"/>
        <v>-15252000</v>
      </c>
      <c r="O66" s="318">
        <f t="shared" si="14"/>
        <v>-2203000</v>
      </c>
      <c r="P66" s="318">
        <f t="shared" si="14"/>
        <v>-3229000</v>
      </c>
      <c r="Q66" s="307">
        <f t="shared" si="14"/>
        <v>-37026000</v>
      </c>
      <c r="R66" s="308">
        <f t="shared" si="14"/>
        <v>913000</v>
      </c>
      <c r="S66" s="308">
        <f t="shared" si="14"/>
        <v>2407000</v>
      </c>
      <c r="T66" s="308">
        <f t="shared" si="14"/>
        <v>9887000</v>
      </c>
      <c r="U66" s="308">
        <f t="shared" si="14"/>
        <v>2962000</v>
      </c>
      <c r="V66" s="307">
        <f t="shared" si="14"/>
        <v>16169000</v>
      </c>
      <c r="W66" s="308">
        <f t="shared" si="14"/>
        <v>6502000</v>
      </c>
      <c r="X66" s="308">
        <f t="shared" si="14"/>
        <v>17831000</v>
      </c>
      <c r="Y66" s="308">
        <f t="shared" si="14"/>
        <v>9924000</v>
      </c>
      <c r="Z66" s="308">
        <f t="shared" si="14"/>
        <v>-635000</v>
      </c>
      <c r="AA66" s="307">
        <f t="shared" si="14"/>
        <v>33622000</v>
      </c>
      <c r="AB66" s="308">
        <f t="shared" si="14"/>
        <v>3467000</v>
      </c>
      <c r="AC66" s="308">
        <f t="shared" si="14"/>
        <v>14860000</v>
      </c>
      <c r="AD66" s="308">
        <f t="shared" si="14"/>
        <v>18535000</v>
      </c>
      <c r="AE66" s="308">
        <f t="shared" si="14"/>
        <v>21129000</v>
      </c>
      <c r="AF66" s="307">
        <f t="shared" si="14"/>
        <v>57991000</v>
      </c>
      <c r="AG66" s="308">
        <f t="shared" si="14"/>
        <v>19525000</v>
      </c>
      <c r="AH66" s="308">
        <f t="shared" si="14"/>
        <v>29129000</v>
      </c>
      <c r="AI66" s="308">
        <f t="shared" si="14"/>
        <v>32256000</v>
      </c>
      <c r="AJ66" s="308">
        <f t="shared" si="14"/>
        <v>17241000</v>
      </c>
      <c r="AK66" s="307">
        <f t="shared" si="14"/>
        <v>98151000</v>
      </c>
      <c r="AL66" s="308">
        <f t="shared" si="14"/>
        <v>23862000</v>
      </c>
      <c r="AM66" s="308">
        <f t="shared" si="14"/>
        <v>34152000</v>
      </c>
      <c r="AN66" s="308">
        <f t="shared" si="14"/>
        <v>36880000</v>
      </c>
      <c r="AO66" s="308">
        <f t="shared" si="14"/>
        <v>0</v>
      </c>
      <c r="AP66" s="307">
        <f t="shared" si="14"/>
        <v>94894000</v>
      </c>
    </row>
    <row r="67" spans="1:42" ht="16.649999999999999" customHeight="1" x14ac:dyDescent="0.25">
      <c r="A67" s="322"/>
      <c r="B67" s="323"/>
      <c r="C67" s="324"/>
      <c r="D67" s="324"/>
      <c r="E67" s="324"/>
      <c r="F67" s="324"/>
      <c r="G67" s="323"/>
      <c r="H67" s="324"/>
      <c r="I67" s="324"/>
      <c r="J67" s="324"/>
      <c r="K67" s="324"/>
      <c r="L67" s="323"/>
      <c r="M67" s="324"/>
      <c r="N67" s="324"/>
      <c r="O67" s="324"/>
      <c r="P67" s="324"/>
      <c r="Q67" s="323"/>
      <c r="R67" s="324"/>
      <c r="S67" s="324"/>
      <c r="T67" s="324"/>
      <c r="U67" s="324"/>
      <c r="V67" s="323"/>
      <c r="W67" s="324"/>
      <c r="X67" s="324"/>
      <c r="Y67" s="324"/>
      <c r="Z67" s="324"/>
      <c r="AA67" s="323"/>
      <c r="AB67" s="324"/>
      <c r="AC67" s="324"/>
      <c r="AD67" s="324"/>
      <c r="AE67" s="324"/>
      <c r="AF67" s="323"/>
      <c r="AG67" s="324"/>
      <c r="AH67" s="324"/>
      <c r="AI67" s="324"/>
      <c r="AJ67" s="324"/>
      <c r="AK67" s="323"/>
      <c r="AL67" s="324"/>
      <c r="AM67" s="324"/>
      <c r="AN67" s="324"/>
      <c r="AO67" s="324"/>
      <c r="AP67" s="323"/>
    </row>
    <row r="68" spans="1:42" ht="16.649999999999999" customHeight="1" x14ac:dyDescent="0.25">
      <c r="A68" s="1" t="s">
        <v>438</v>
      </c>
      <c r="B68" s="309">
        <v>-0.47</v>
      </c>
      <c r="C68" s="98">
        <v>-0.13</v>
      </c>
      <c r="D68" s="98">
        <v>-0.09</v>
      </c>
      <c r="E68" s="98">
        <v>-0.01</v>
      </c>
      <c r="F68" s="98">
        <v>-0.06</v>
      </c>
      <c r="G68" s="309">
        <v>-0.28999999999999998</v>
      </c>
      <c r="H68" s="98">
        <v>-0.06</v>
      </c>
      <c r="I68" s="98">
        <v>-0.14000000000000001</v>
      </c>
      <c r="J68" s="98">
        <v>0.03</v>
      </c>
      <c r="K68" s="98">
        <v>-0.13</v>
      </c>
      <c r="L68" s="309">
        <v>-0.28999999999999998</v>
      </c>
      <c r="M68" s="98">
        <v>-0.24</v>
      </c>
      <c r="N68" s="98">
        <v>-0.23</v>
      </c>
      <c r="O68" s="98">
        <v>-0.03</v>
      </c>
      <c r="P68" s="98">
        <v>-0.05</v>
      </c>
      <c r="Q68" s="309">
        <v>-0.55000000000000004</v>
      </c>
      <c r="R68" s="98">
        <v>0.01</v>
      </c>
      <c r="S68" s="98">
        <v>0.03</v>
      </c>
      <c r="T68" s="98">
        <v>0.14000000000000001</v>
      </c>
      <c r="U68" s="98">
        <v>0.04</v>
      </c>
      <c r="V68" s="309">
        <v>0.23</v>
      </c>
      <c r="W68" s="98">
        <v>0.09</v>
      </c>
      <c r="X68" s="98">
        <v>0.26</v>
      </c>
      <c r="Y68" s="98">
        <v>0.14000000000000001</v>
      </c>
      <c r="Z68" s="98">
        <v>-0.01</v>
      </c>
      <c r="AA68" s="309">
        <v>0.48</v>
      </c>
      <c r="AB68" s="98">
        <f>ROUND(+'1.Input NG EPS trend'!AL36,2)</f>
        <v>0.05</v>
      </c>
      <c r="AC68" s="98">
        <f>ROUND(+'1.Input NG EPS trend'!AM36,2)</f>
        <v>0.22</v>
      </c>
      <c r="AD68" s="98">
        <f>ROUND(+'1.Input NG EPS trend'!AN36,2)</f>
        <v>0.28000000000000003</v>
      </c>
      <c r="AE68" s="98">
        <f>ROUND(+'1.Input NG EPS trend'!AO36,2)</f>
        <v>0.32</v>
      </c>
      <c r="AF68" s="309">
        <f>ROUND(+'1.Input NG EPS trend'!AP36,2)</f>
        <v>0.86</v>
      </c>
      <c r="AG68" s="98">
        <f>ROUND(+'1.Input NG EPS trend'!AF36,2)</f>
        <v>0.28999999999999998</v>
      </c>
      <c r="AH68" s="98">
        <f>ROUND(+'1.Input NG EPS trend'!AG36,2)</f>
        <v>0.43</v>
      </c>
      <c r="AI68" s="98">
        <f>ROUND(+'1.Input NG EPS trend'!AH36,2)</f>
        <v>0.47</v>
      </c>
      <c r="AJ68" s="98">
        <f>ROUND(+'1.Input NG EPS trend'!AI36,2)</f>
        <v>0.25</v>
      </c>
      <c r="AK68" s="309">
        <f>ROUND(+'1.Input NG EPS trend'!AJ36,2)</f>
        <v>1.45</v>
      </c>
      <c r="AL68" s="98">
        <f>ROUND(+'1.Input NG EPS trend'!Z36,2)</f>
        <v>0.35</v>
      </c>
      <c r="AM68" s="98">
        <f>ROUND(+'1.Input NG EPS trend'!AA36,2)</f>
        <v>0.51</v>
      </c>
      <c r="AN68" s="98">
        <f>ROUND(+'1.Input NG EPS trend'!AB36,2)</f>
        <v>0.55000000000000004</v>
      </c>
      <c r="AO68" s="98">
        <f>ROUND(+'1.Input NG EPS trend'!AC36,2)</f>
        <v>0</v>
      </c>
      <c r="AP68" s="309">
        <f>ROUND(+'1.Input NG EPS trend'!AD36,2)</f>
        <v>1.41</v>
      </c>
    </row>
    <row r="69" spans="1:42" ht="16.649999999999999" customHeight="1" x14ac:dyDescent="0.25"/>
    <row r="70" spans="1:42" ht="16.649999999999999" customHeight="1" x14ac:dyDescent="0.3">
      <c r="A70" s="311" t="s">
        <v>440</v>
      </c>
    </row>
    <row r="71" spans="1:42" ht="27.5" customHeight="1" x14ac:dyDescent="0.25">
      <c r="B71" s="411" t="s">
        <v>441</v>
      </c>
      <c r="C71" s="362"/>
      <c r="D71" s="362"/>
      <c r="E71" s="362"/>
      <c r="F71" s="362"/>
      <c r="G71" s="362"/>
    </row>
  </sheetData>
  <mergeCells count="3">
    <mergeCell ref="A36:C36"/>
    <mergeCell ref="B37:G37"/>
    <mergeCell ref="B71:G71"/>
  </mergeCells>
  <pageMargins left="0.25" right="0.25" top="0.75" bottom="0.75" header="0.3" footer="0.3"/>
  <pageSetup scale="41"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P73"/>
  <sheetViews>
    <sheetView zoomScale="90" zoomScaleNormal="90" workbookViewId="0">
      <pane xSplit="1" ySplit="5" topLeftCell="AC6" activePane="bottomRight" state="frozen"/>
      <selection pane="topRight"/>
      <selection pane="bottomLeft"/>
      <selection pane="bottomRight" activeCell="A24" sqref="A24"/>
    </sheetView>
  </sheetViews>
  <sheetFormatPr defaultColWidth="13.08984375" defaultRowHeight="12.5" outlineLevelCol="1" x14ac:dyDescent="0.25"/>
  <cols>
    <col min="1" max="1" width="45.90625" customWidth="1"/>
    <col min="2" max="16" width="12.90625" hidden="1" customWidth="1" outlineLevel="1"/>
    <col min="17" max="17" width="12.90625" customWidth="1" collapsed="1"/>
    <col min="18" max="21" width="12.90625" hidden="1" customWidth="1" outlineLevel="1"/>
    <col min="22" max="22" width="12.90625" customWidth="1" collapsed="1"/>
    <col min="23" max="26" width="12.90625" hidden="1" customWidth="1" outlineLevel="1"/>
    <col min="27" max="27" width="12.90625" customWidth="1" collapsed="1"/>
    <col min="28" max="40" width="12.90625" customWidth="1"/>
    <col min="41" max="42" width="12.90625" hidden="1" customWidth="1"/>
    <col min="43" max="44" width="8.6328125" customWidth="1"/>
  </cols>
  <sheetData>
    <row r="1" spans="1:42" ht="33.25" customHeight="1" x14ac:dyDescent="0.25">
      <c r="A1" s="66"/>
    </row>
    <row r="2" spans="1:42" ht="15" customHeight="1" x14ac:dyDescent="0.3">
      <c r="A2" s="2" t="s">
        <v>445</v>
      </c>
    </row>
    <row r="3" spans="1:42" ht="15" customHeight="1" x14ac:dyDescent="0.3">
      <c r="A3" s="325" t="s">
        <v>446</v>
      </c>
    </row>
    <row r="4" spans="1:42" ht="15" customHeight="1" x14ac:dyDescent="0.25">
      <c r="A4" s="326" t="s">
        <v>432</v>
      </c>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row>
    <row r="5" spans="1:42" ht="15" customHeight="1" x14ac:dyDescent="0.3">
      <c r="B5" s="185" t="s">
        <v>223</v>
      </c>
      <c r="C5" s="186" t="s">
        <v>224</v>
      </c>
      <c r="D5" s="186" t="s">
        <v>225</v>
      </c>
      <c r="E5" s="186" t="s">
        <v>226</v>
      </c>
      <c r="F5" s="186" t="s">
        <v>227</v>
      </c>
      <c r="G5" s="185" t="s">
        <v>228</v>
      </c>
      <c r="H5" s="186" t="s">
        <v>229</v>
      </c>
      <c r="I5" s="186" t="s">
        <v>230</v>
      </c>
      <c r="J5" s="186" t="s">
        <v>231</v>
      </c>
      <c r="K5" s="186" t="s">
        <v>232</v>
      </c>
      <c r="L5" s="185" t="s">
        <v>233</v>
      </c>
      <c r="M5" s="186" t="s">
        <v>234</v>
      </c>
      <c r="N5" s="186" t="s">
        <v>235</v>
      </c>
      <c r="O5" s="186" t="s">
        <v>236</v>
      </c>
      <c r="P5" s="186" t="s">
        <v>447</v>
      </c>
      <c r="Q5" s="185" t="s">
        <v>238</v>
      </c>
      <c r="R5" s="186" t="s">
        <v>239</v>
      </c>
      <c r="S5" s="186" t="s">
        <v>240</v>
      </c>
      <c r="T5" s="186" t="s">
        <v>241</v>
      </c>
      <c r="U5" s="186" t="s">
        <v>242</v>
      </c>
      <c r="V5" s="185" t="s">
        <v>243</v>
      </c>
      <c r="W5" s="186" t="s">
        <v>244</v>
      </c>
      <c r="X5" s="186" t="s">
        <v>245</v>
      </c>
      <c r="Y5" s="186" t="s">
        <v>246</v>
      </c>
      <c r="Z5" s="186" t="s">
        <v>247</v>
      </c>
      <c r="AA5" s="185" t="s">
        <v>248</v>
      </c>
      <c r="AB5" s="186" t="s">
        <v>249</v>
      </c>
      <c r="AC5" s="186" t="s">
        <v>250</v>
      </c>
      <c r="AD5" s="186" t="s">
        <v>251</v>
      </c>
      <c r="AE5" s="186" t="s">
        <v>252</v>
      </c>
      <c r="AF5" s="185" t="s">
        <v>253</v>
      </c>
      <c r="AG5" s="186" t="s">
        <v>254</v>
      </c>
      <c r="AH5" s="186" t="s">
        <v>255</v>
      </c>
      <c r="AI5" s="186" t="s">
        <v>256</v>
      </c>
      <c r="AJ5" s="186" t="s">
        <v>257</v>
      </c>
      <c r="AK5" s="185" t="s">
        <v>258</v>
      </c>
      <c r="AL5" s="186" t="s">
        <v>259</v>
      </c>
      <c r="AM5" s="186" t="s">
        <v>260</v>
      </c>
      <c r="AN5" s="186" t="s">
        <v>261</v>
      </c>
      <c r="AO5" s="186" t="s">
        <v>262</v>
      </c>
      <c r="AP5" s="185" t="s">
        <v>263</v>
      </c>
    </row>
    <row r="6" spans="1:42" ht="15" customHeight="1" x14ac:dyDescent="0.25">
      <c r="B6" s="189"/>
      <c r="C6" s="50"/>
      <c r="D6" s="50"/>
      <c r="E6" s="50"/>
      <c r="F6" s="50"/>
      <c r="G6" s="189"/>
      <c r="H6" s="50"/>
      <c r="I6" s="50"/>
      <c r="J6" s="50"/>
      <c r="K6" s="50"/>
      <c r="L6" s="189"/>
      <c r="M6" s="50"/>
      <c r="N6" s="50"/>
      <c r="O6" s="50"/>
      <c r="P6" s="50"/>
      <c r="Q6" s="189"/>
      <c r="R6" s="50"/>
      <c r="S6" s="50"/>
      <c r="T6" s="50"/>
      <c r="U6" s="50"/>
      <c r="V6" s="189"/>
      <c r="W6" s="50"/>
      <c r="X6" s="50"/>
      <c r="Y6" s="50"/>
      <c r="Z6" s="50"/>
      <c r="AA6" s="189"/>
      <c r="AB6" s="50"/>
      <c r="AC6" s="50"/>
      <c r="AD6" s="50"/>
      <c r="AE6" s="50"/>
      <c r="AF6" s="189"/>
      <c r="AG6" s="50"/>
      <c r="AH6" s="50"/>
      <c r="AI6" s="50"/>
      <c r="AJ6" s="50"/>
      <c r="AK6" s="189"/>
      <c r="AL6" s="50"/>
      <c r="AM6" s="50"/>
      <c r="AN6" s="50"/>
      <c r="AO6" s="50"/>
      <c r="AP6" s="189"/>
    </row>
    <row r="7" spans="1:42" ht="15" customHeight="1" x14ac:dyDescent="0.3">
      <c r="A7" s="2" t="s">
        <v>448</v>
      </c>
      <c r="B7" s="327">
        <v>174760000</v>
      </c>
      <c r="C7" s="328">
        <v>46757000</v>
      </c>
      <c r="D7" s="328">
        <v>54013000</v>
      </c>
      <c r="E7" s="328">
        <v>59121000</v>
      </c>
      <c r="F7" s="328">
        <v>60210000</v>
      </c>
      <c r="G7" s="327">
        <v>220101000</v>
      </c>
      <c r="H7" s="328">
        <v>62471000</v>
      </c>
      <c r="I7" s="328">
        <v>64812000</v>
      </c>
      <c r="J7" s="328">
        <v>80021000</v>
      </c>
      <c r="K7" s="328">
        <v>78316000</v>
      </c>
      <c r="L7" s="327">
        <v>285620000</v>
      </c>
      <c r="M7" s="328">
        <v>82511000</v>
      </c>
      <c r="N7" s="328">
        <v>90143000</v>
      </c>
      <c r="O7" s="328">
        <v>102217000</v>
      </c>
      <c r="P7" s="328">
        <v>105701000</v>
      </c>
      <c r="Q7" s="327">
        <v>380572000</v>
      </c>
      <c r="R7" s="328">
        <v>99437000</v>
      </c>
      <c r="S7" s="328">
        <v>104661000</v>
      </c>
      <c r="T7" s="328">
        <v>119753000</v>
      </c>
      <c r="U7" s="328">
        <v>119175000</v>
      </c>
      <c r="V7" s="327">
        <v>443026000</v>
      </c>
      <c r="W7" s="328">
        <v>119038000</v>
      </c>
      <c r="X7" s="328">
        <v>127290000</v>
      </c>
      <c r="Y7" s="328">
        <v>140604000</v>
      </c>
      <c r="Z7" s="328">
        <v>141725000</v>
      </c>
      <c r="AA7" s="327">
        <v>528657000</v>
      </c>
      <c r="AB7" s="328">
        <v>142243000</v>
      </c>
      <c r="AC7" s="328">
        <v>147099000</v>
      </c>
      <c r="AD7" s="328">
        <v>158615000</v>
      </c>
      <c r="AE7" s="328">
        <v>148626000</v>
      </c>
      <c r="AF7" s="327">
        <v>596583000</v>
      </c>
      <c r="AG7" s="328">
        <v>154069000</v>
      </c>
      <c r="AH7" s="328">
        <v>159871000</v>
      </c>
      <c r="AI7" s="328">
        <v>173869000</v>
      </c>
      <c r="AJ7" s="328">
        <v>171852000</v>
      </c>
      <c r="AK7" s="327">
        <v>659661000</v>
      </c>
      <c r="AL7" s="328">
        <f>+'1.Input IS Trend &amp; EPS'!AZ9</f>
        <v>175961000</v>
      </c>
      <c r="AM7" s="328">
        <f>+'1.Input IS Trend &amp; EPS'!BA9</f>
        <v>185483000</v>
      </c>
      <c r="AN7" s="328">
        <f>+'1.Input IS Trend &amp; EPS'!BB9</f>
        <v>195412000</v>
      </c>
      <c r="AO7" s="328">
        <f>+'1.Input IS Trend &amp; EPS'!BC9</f>
        <v>0</v>
      </c>
      <c r="AP7" s="327">
        <f>SUM(AL7:AO7)</f>
        <v>556856000</v>
      </c>
    </row>
    <row r="8" spans="1:42" ht="15" customHeight="1" x14ac:dyDescent="0.25">
      <c r="B8" s="319"/>
      <c r="G8" s="319"/>
      <c r="L8" s="319"/>
      <c r="Q8" s="319"/>
      <c r="V8" s="319"/>
      <c r="AA8" s="319"/>
      <c r="AF8" s="319"/>
      <c r="AK8" s="319"/>
      <c r="AP8" s="319"/>
    </row>
    <row r="9" spans="1:42" ht="16.649999999999999" customHeight="1" x14ac:dyDescent="0.25">
      <c r="A9" s="66" t="s">
        <v>449</v>
      </c>
      <c r="B9" s="315">
        <v>74784000</v>
      </c>
      <c r="C9" s="316">
        <v>22696000</v>
      </c>
      <c r="D9" s="316">
        <v>30004000</v>
      </c>
      <c r="E9" s="316">
        <v>34595000</v>
      </c>
      <c r="F9" s="316">
        <v>36410000</v>
      </c>
      <c r="G9" s="315">
        <v>123705000</v>
      </c>
      <c r="H9" s="316">
        <v>38817000</v>
      </c>
      <c r="I9" s="316">
        <v>40346000</v>
      </c>
      <c r="J9" s="316">
        <v>45183000</v>
      </c>
      <c r="K9" s="316">
        <v>40556000</v>
      </c>
      <c r="L9" s="315">
        <v>164902000</v>
      </c>
      <c r="M9" s="316">
        <v>46085000</v>
      </c>
      <c r="N9" s="316">
        <v>48683000</v>
      </c>
      <c r="O9" s="316">
        <v>64251000</v>
      </c>
      <c r="P9" s="316">
        <v>68849000</v>
      </c>
      <c r="Q9" s="315">
        <v>227868000</v>
      </c>
      <c r="R9" s="316">
        <v>64972000</v>
      </c>
      <c r="S9" s="316">
        <v>69764000</v>
      </c>
      <c r="T9" s="316">
        <v>82668000</v>
      </c>
      <c r="U9" s="316">
        <v>81618000</v>
      </c>
      <c r="V9" s="315">
        <v>299022000</v>
      </c>
      <c r="W9" s="316">
        <v>84723000</v>
      </c>
      <c r="X9" s="316">
        <v>92211000</v>
      </c>
      <c r="Y9" s="316">
        <v>102047000</v>
      </c>
      <c r="Z9" s="316">
        <v>102249000</v>
      </c>
      <c r="AA9" s="315">
        <v>381230000</v>
      </c>
      <c r="AB9" s="316">
        <v>101222000</v>
      </c>
      <c r="AC9" s="316">
        <v>104795000</v>
      </c>
      <c r="AD9" s="316">
        <v>115328000</v>
      </c>
      <c r="AE9" s="316">
        <v>105154000</v>
      </c>
      <c r="AF9" s="315">
        <v>426499000</v>
      </c>
      <c r="AG9" s="316">
        <v>108448000</v>
      </c>
      <c r="AH9" s="316">
        <v>118659000</v>
      </c>
      <c r="AI9" s="316">
        <v>128935000</v>
      </c>
      <c r="AJ9" s="316">
        <v>124130000</v>
      </c>
      <c r="AK9" s="315">
        <v>480172000</v>
      </c>
      <c r="AL9" s="316">
        <f>+'1.Input IS Trend &amp; EPS'!AZ11</f>
        <v>124212000</v>
      </c>
      <c r="AM9" s="316">
        <f>+'1.Input IS Trend &amp; EPS'!BA11</f>
        <v>134249000</v>
      </c>
      <c r="AN9" s="316">
        <f>+'1.Input IS Trend &amp; EPS'!BB11</f>
        <v>140414000</v>
      </c>
      <c r="AO9" s="316">
        <f>+'1.Input IS Trend &amp; EPS'!BC11</f>
        <v>0</v>
      </c>
      <c r="AP9" s="315">
        <f>SUM(AL9:AO9)</f>
        <v>398875000</v>
      </c>
    </row>
    <row r="10" spans="1:42" ht="16.649999999999999" customHeight="1" x14ac:dyDescent="0.3">
      <c r="A10" s="311" t="s">
        <v>450</v>
      </c>
      <c r="B10" s="329">
        <v>0.42799999999999999</v>
      </c>
      <c r="C10" s="330">
        <v>0.48499999999999999</v>
      </c>
      <c r="D10" s="330">
        <v>0.55500000000000005</v>
      </c>
      <c r="E10" s="330">
        <v>0.58499999999999996</v>
      </c>
      <c r="F10" s="330">
        <v>0.60499999999999998</v>
      </c>
      <c r="G10" s="329">
        <v>0.56200000000000006</v>
      </c>
      <c r="H10" s="330">
        <v>0.621</v>
      </c>
      <c r="I10" s="330">
        <v>0.623</v>
      </c>
      <c r="J10" s="330">
        <v>0.56499999999999995</v>
      </c>
      <c r="K10" s="330">
        <v>0.51800000000000002</v>
      </c>
      <c r="L10" s="329">
        <v>0.57699999999999996</v>
      </c>
      <c r="M10" s="330">
        <v>0.55900000000000005</v>
      </c>
      <c r="N10" s="330">
        <v>0.54</v>
      </c>
      <c r="O10" s="330">
        <v>0.629</v>
      </c>
      <c r="P10" s="330">
        <v>0.65100000000000002</v>
      </c>
      <c r="Q10" s="329">
        <v>0.59899999999999998</v>
      </c>
      <c r="R10" s="330">
        <v>0.65300000000000002</v>
      </c>
      <c r="S10" s="330">
        <v>0.66700000000000004</v>
      </c>
      <c r="T10" s="330">
        <v>0.69</v>
      </c>
      <c r="U10" s="330">
        <v>0.68500000000000005</v>
      </c>
      <c r="V10" s="329">
        <v>0.67500000000000004</v>
      </c>
      <c r="W10" s="330">
        <v>0.71199999999999997</v>
      </c>
      <c r="X10" s="330">
        <v>0.72399999999999998</v>
      </c>
      <c r="Y10" s="330">
        <v>0.72599999999999998</v>
      </c>
      <c r="Z10" s="330">
        <v>0.72099999999999997</v>
      </c>
      <c r="AA10" s="329">
        <v>0.72099999999999997</v>
      </c>
      <c r="AB10" s="330">
        <v>0.71199999999999997</v>
      </c>
      <c r="AC10" s="330">
        <v>0.71199999999999997</v>
      </c>
      <c r="AD10" s="330">
        <v>0.72699999999999998</v>
      </c>
      <c r="AE10" s="330">
        <v>0.70799999999999996</v>
      </c>
      <c r="AF10" s="329">
        <v>0.71499999999999997</v>
      </c>
      <c r="AG10" s="330">
        <v>0.70399999999999996</v>
      </c>
      <c r="AH10" s="330">
        <v>0.74199999999999999</v>
      </c>
      <c r="AI10" s="330">
        <v>0.74199999999999999</v>
      </c>
      <c r="AJ10" s="330">
        <v>0.72199999999999998</v>
      </c>
      <c r="AK10" s="329">
        <v>0.72799999999999998</v>
      </c>
      <c r="AL10" s="330">
        <f>IFERROR(+AL9/AL7,0)</f>
        <v>0.70590642244588286</v>
      </c>
      <c r="AM10" s="330">
        <f>IFERROR(+AM9/AM7,0)</f>
        <v>0.72378061601332733</v>
      </c>
      <c r="AN10" s="330">
        <f>IFERROR(+AN9/AN7,0)</f>
        <v>0.71855362004380485</v>
      </c>
      <c r="AO10" s="330">
        <f>IFERROR(+AO9/AO7,0)</f>
        <v>0</v>
      </c>
      <c r="AP10" s="329">
        <f>IFERROR(+AP9/AP7,0)</f>
        <v>0.71629828896519032</v>
      </c>
    </row>
    <row r="11" spans="1:42" ht="16.649999999999999" customHeight="1" x14ac:dyDescent="0.25">
      <c r="A11" s="81" t="s">
        <v>273</v>
      </c>
      <c r="B11" s="319"/>
      <c r="G11" s="319"/>
      <c r="L11" s="319"/>
      <c r="Q11" s="319"/>
      <c r="V11" s="319"/>
      <c r="AA11" s="319"/>
      <c r="AF11" s="319"/>
      <c r="AK11" s="319"/>
      <c r="AP11" s="319"/>
    </row>
    <row r="12" spans="1:42" ht="31" customHeight="1" x14ac:dyDescent="0.25">
      <c r="A12" s="331" t="s">
        <v>451</v>
      </c>
      <c r="B12" s="304">
        <v>18618000</v>
      </c>
      <c r="C12" s="83">
        <v>5959000</v>
      </c>
      <c r="D12" s="83">
        <v>6015000</v>
      </c>
      <c r="E12" s="83">
        <v>5965000</v>
      </c>
      <c r="F12" s="83">
        <v>5956000</v>
      </c>
      <c r="G12" s="304">
        <v>23895000</v>
      </c>
      <c r="H12" s="83">
        <v>5970000</v>
      </c>
      <c r="I12" s="83">
        <v>3548000</v>
      </c>
      <c r="J12" s="83">
        <v>3359000</v>
      </c>
      <c r="K12" s="83">
        <v>2981000</v>
      </c>
      <c r="L12" s="304">
        <v>15858000</v>
      </c>
      <c r="M12" s="83">
        <v>3123000</v>
      </c>
      <c r="N12" s="83">
        <v>5369000</v>
      </c>
      <c r="O12" s="83">
        <v>5369000</v>
      </c>
      <c r="P12" s="83">
        <v>5181000</v>
      </c>
      <c r="Q12" s="304">
        <v>19042000</v>
      </c>
      <c r="R12" s="83">
        <v>5306000</v>
      </c>
      <c r="S12" s="83">
        <v>4350000</v>
      </c>
      <c r="T12" s="83">
        <v>4213000</v>
      </c>
      <c r="U12" s="83">
        <v>4177000</v>
      </c>
      <c r="V12" s="304">
        <v>18046000</v>
      </c>
      <c r="W12" s="83">
        <v>4645000</v>
      </c>
      <c r="X12" s="83">
        <v>4612000</v>
      </c>
      <c r="Y12" s="83">
        <v>4647000</v>
      </c>
      <c r="Z12" s="83">
        <v>4807000</v>
      </c>
      <c r="AA12" s="304">
        <v>18711000</v>
      </c>
      <c r="AB12" s="83">
        <v>4643000</v>
      </c>
      <c r="AC12" s="83">
        <v>4637000</v>
      </c>
      <c r="AD12" s="83">
        <v>4209000</v>
      </c>
      <c r="AE12" s="83">
        <v>3336000</v>
      </c>
      <c r="AF12" s="304">
        <v>16825000</v>
      </c>
      <c r="AG12" s="83">
        <v>3290000</v>
      </c>
      <c r="AH12" s="83">
        <v>1217000</v>
      </c>
      <c r="AI12" s="83">
        <v>1181000</v>
      </c>
      <c r="AJ12" s="83">
        <v>3097000</v>
      </c>
      <c r="AK12" s="304">
        <v>8785000</v>
      </c>
      <c r="AL12" s="83">
        <f>+'1.Input NG Expense'!AH12</f>
        <v>3846000</v>
      </c>
      <c r="AM12" s="83">
        <f>+'1.Input NG Expense'!AI12</f>
        <v>3748000</v>
      </c>
      <c r="AN12" s="83">
        <f>+'1.Input NG Expense'!AJ12</f>
        <v>3686000</v>
      </c>
      <c r="AO12" s="83">
        <f>+'1.Input NG Expense'!AK12</f>
        <v>0</v>
      </c>
      <c r="AP12" s="304">
        <f>SUM(AL12:AO12)</f>
        <v>11280000</v>
      </c>
    </row>
    <row r="13" spans="1:42" ht="16.649999999999999" customHeight="1" x14ac:dyDescent="0.25">
      <c r="A13" s="331" t="s">
        <v>452</v>
      </c>
      <c r="B13" s="304">
        <v>4318000</v>
      </c>
      <c r="C13" s="83">
        <v>637000</v>
      </c>
      <c r="D13" s="83">
        <v>654000</v>
      </c>
      <c r="E13" s="83">
        <v>673000</v>
      </c>
      <c r="F13" s="83">
        <v>687000</v>
      </c>
      <c r="G13" s="304">
        <v>2651000</v>
      </c>
      <c r="H13" s="83">
        <v>711000</v>
      </c>
      <c r="I13" s="83">
        <v>782000</v>
      </c>
      <c r="J13" s="83">
        <v>1052000</v>
      </c>
      <c r="K13" s="83">
        <v>2163000</v>
      </c>
      <c r="L13" s="304">
        <v>4708000</v>
      </c>
      <c r="M13" s="83">
        <v>755000</v>
      </c>
      <c r="N13" s="83">
        <v>1060000</v>
      </c>
      <c r="O13" s="83">
        <v>1028000</v>
      </c>
      <c r="P13" s="83">
        <v>926000</v>
      </c>
      <c r="Q13" s="304">
        <v>3769000</v>
      </c>
      <c r="R13" s="83">
        <v>775000</v>
      </c>
      <c r="S13" s="83">
        <v>913000</v>
      </c>
      <c r="T13" s="83">
        <v>988000</v>
      </c>
      <c r="U13" s="83">
        <v>2624000</v>
      </c>
      <c r="V13" s="304">
        <v>5300000</v>
      </c>
      <c r="W13" s="83">
        <v>790000</v>
      </c>
      <c r="X13" s="83">
        <v>948000</v>
      </c>
      <c r="Y13" s="83">
        <v>1168000</v>
      </c>
      <c r="Z13" s="83">
        <v>1205000</v>
      </c>
      <c r="AA13" s="304">
        <v>4111000</v>
      </c>
      <c r="AB13" s="83">
        <v>1163000</v>
      </c>
      <c r="AC13" s="83">
        <v>1293000</v>
      </c>
      <c r="AD13" s="83">
        <v>1208000</v>
      </c>
      <c r="AE13" s="83">
        <v>2653000</v>
      </c>
      <c r="AF13" s="304">
        <v>6317000</v>
      </c>
      <c r="AG13" s="83">
        <v>629000</v>
      </c>
      <c r="AH13" s="83">
        <v>629000</v>
      </c>
      <c r="AI13" s="83">
        <v>817000</v>
      </c>
      <c r="AJ13" s="83">
        <v>1478000</v>
      </c>
      <c r="AK13" s="304">
        <v>3553000</v>
      </c>
      <c r="AL13" s="83">
        <f>+'1.Input NG Expense'!AH13</f>
        <v>1596000</v>
      </c>
      <c r="AM13" s="83">
        <f>+'1.Input NG Expense'!AI13</f>
        <v>1499000</v>
      </c>
      <c r="AN13" s="83">
        <f>+'1.Input NG Expense'!AJ13</f>
        <v>1455000</v>
      </c>
      <c r="AO13" s="83">
        <f>+'1.Input NG Expense'!AK13</f>
        <v>0</v>
      </c>
      <c r="AP13" s="304">
        <f>SUM(AL13:AO13)</f>
        <v>4550000</v>
      </c>
    </row>
    <row r="14" spans="1:42" ht="16.649999999999999" customHeight="1" x14ac:dyDescent="0.25">
      <c r="A14" s="332" t="s">
        <v>453</v>
      </c>
      <c r="B14" s="297">
        <v>0</v>
      </c>
      <c r="C14" s="255">
        <v>0</v>
      </c>
      <c r="D14" s="255">
        <v>0</v>
      </c>
      <c r="E14" s="255">
        <v>0</v>
      </c>
      <c r="F14" s="255">
        <v>0</v>
      </c>
      <c r="G14" s="297">
        <v>0</v>
      </c>
      <c r="H14" s="255">
        <v>0</v>
      </c>
      <c r="I14" s="255">
        <v>0</v>
      </c>
      <c r="J14" s="255">
        <v>1527000</v>
      </c>
      <c r="K14" s="255">
        <v>1445000</v>
      </c>
      <c r="L14" s="297">
        <v>2972000</v>
      </c>
      <c r="M14" s="255">
        <v>1487000</v>
      </c>
      <c r="N14" s="255">
        <v>1245000</v>
      </c>
      <c r="O14" s="255">
        <v>0</v>
      </c>
      <c r="P14" s="255">
        <v>0</v>
      </c>
      <c r="Q14" s="297">
        <v>2732000</v>
      </c>
      <c r="R14" s="255">
        <v>0</v>
      </c>
      <c r="S14" s="255">
        <v>0</v>
      </c>
      <c r="T14" s="255">
        <v>0</v>
      </c>
      <c r="U14" s="255">
        <v>0</v>
      </c>
      <c r="V14" s="297">
        <v>0</v>
      </c>
      <c r="W14" s="255">
        <v>0</v>
      </c>
      <c r="X14" s="255">
        <v>0</v>
      </c>
      <c r="Y14" s="255">
        <v>0</v>
      </c>
      <c r="Z14" s="255">
        <v>0</v>
      </c>
      <c r="AA14" s="297">
        <v>0</v>
      </c>
      <c r="AB14" s="255">
        <v>0</v>
      </c>
      <c r="AC14" s="255">
        <v>0</v>
      </c>
      <c r="AD14" s="255">
        <v>0</v>
      </c>
      <c r="AE14" s="255">
        <v>0</v>
      </c>
      <c r="AF14" s="297">
        <v>0</v>
      </c>
      <c r="AG14" s="255">
        <v>0</v>
      </c>
      <c r="AH14" s="255">
        <v>0</v>
      </c>
      <c r="AI14" s="255">
        <v>0</v>
      </c>
      <c r="AJ14" s="255">
        <v>0</v>
      </c>
      <c r="AK14" s="297">
        <v>0</v>
      </c>
      <c r="AL14" s="255">
        <f>+'1.Input NG Expense'!AH17</f>
        <v>0</v>
      </c>
      <c r="AM14" s="255">
        <f>+'1.Input NG Expense'!AI17</f>
        <v>0</v>
      </c>
      <c r="AN14" s="255">
        <f>+'1.Input NG Expense'!AJ17</f>
        <v>0</v>
      </c>
      <c r="AO14" s="255">
        <f>+'1.Input NG Expense'!AK17</f>
        <v>0</v>
      </c>
      <c r="AP14" s="297">
        <f>SUM(AL14:AO14)</f>
        <v>0</v>
      </c>
    </row>
    <row r="15" spans="1:42" ht="16.649999999999999" customHeight="1" x14ac:dyDescent="0.3">
      <c r="A15" s="44" t="s">
        <v>454</v>
      </c>
      <c r="B15" s="333">
        <f t="shared" ref="B15:AP15" si="0">+B9+SUM(B12:B14)</f>
        <v>97720000</v>
      </c>
      <c r="C15" s="334">
        <f t="shared" si="0"/>
        <v>29292000</v>
      </c>
      <c r="D15" s="334">
        <f t="shared" si="0"/>
        <v>36673000</v>
      </c>
      <c r="E15" s="334">
        <f t="shared" si="0"/>
        <v>41233000</v>
      </c>
      <c r="F15" s="334">
        <f t="shared" si="0"/>
        <v>43053000</v>
      </c>
      <c r="G15" s="333">
        <f t="shared" si="0"/>
        <v>150251000</v>
      </c>
      <c r="H15" s="334">
        <f t="shared" si="0"/>
        <v>45498000</v>
      </c>
      <c r="I15" s="334">
        <f t="shared" si="0"/>
        <v>44676000</v>
      </c>
      <c r="J15" s="334">
        <f t="shared" si="0"/>
        <v>51121000</v>
      </c>
      <c r="K15" s="334">
        <f t="shared" si="0"/>
        <v>47145000</v>
      </c>
      <c r="L15" s="333">
        <f t="shared" si="0"/>
        <v>188440000</v>
      </c>
      <c r="M15" s="334">
        <f t="shared" si="0"/>
        <v>51450000</v>
      </c>
      <c r="N15" s="334">
        <f t="shared" si="0"/>
        <v>56357000</v>
      </c>
      <c r="O15" s="334">
        <f t="shared" si="0"/>
        <v>70648000</v>
      </c>
      <c r="P15" s="334">
        <f t="shared" si="0"/>
        <v>74956000</v>
      </c>
      <c r="Q15" s="333">
        <f t="shared" si="0"/>
        <v>253411000</v>
      </c>
      <c r="R15" s="334">
        <f t="shared" si="0"/>
        <v>71053000</v>
      </c>
      <c r="S15" s="334">
        <f t="shared" si="0"/>
        <v>75027000</v>
      </c>
      <c r="T15" s="334">
        <f t="shared" si="0"/>
        <v>87869000</v>
      </c>
      <c r="U15" s="334">
        <f t="shared" si="0"/>
        <v>88419000</v>
      </c>
      <c r="V15" s="333">
        <f t="shared" si="0"/>
        <v>322368000</v>
      </c>
      <c r="W15" s="334">
        <f t="shared" si="0"/>
        <v>90158000</v>
      </c>
      <c r="X15" s="334">
        <f t="shared" si="0"/>
        <v>97771000</v>
      </c>
      <c r="Y15" s="334">
        <f t="shared" si="0"/>
        <v>107862000</v>
      </c>
      <c r="Z15" s="334">
        <f t="shared" si="0"/>
        <v>108261000</v>
      </c>
      <c r="AA15" s="333">
        <f t="shared" si="0"/>
        <v>404052000</v>
      </c>
      <c r="AB15" s="334">
        <f t="shared" si="0"/>
        <v>107028000</v>
      </c>
      <c r="AC15" s="334">
        <f t="shared" si="0"/>
        <v>110725000</v>
      </c>
      <c r="AD15" s="334">
        <f t="shared" si="0"/>
        <v>120745000</v>
      </c>
      <c r="AE15" s="334">
        <f t="shared" si="0"/>
        <v>111143000</v>
      </c>
      <c r="AF15" s="333">
        <f t="shared" si="0"/>
        <v>449641000</v>
      </c>
      <c r="AG15" s="334">
        <f t="shared" si="0"/>
        <v>112367000</v>
      </c>
      <c r="AH15" s="334">
        <f t="shared" si="0"/>
        <v>120505000</v>
      </c>
      <c r="AI15" s="334">
        <f t="shared" si="0"/>
        <v>130933000</v>
      </c>
      <c r="AJ15" s="334">
        <f t="shared" si="0"/>
        <v>128705000</v>
      </c>
      <c r="AK15" s="333">
        <f t="shared" si="0"/>
        <v>492510000</v>
      </c>
      <c r="AL15" s="334">
        <f t="shared" si="0"/>
        <v>129654000</v>
      </c>
      <c r="AM15" s="334">
        <f t="shared" si="0"/>
        <v>139496000</v>
      </c>
      <c r="AN15" s="334">
        <f t="shared" si="0"/>
        <v>145555000</v>
      </c>
      <c r="AO15" s="334">
        <f t="shared" si="0"/>
        <v>0</v>
      </c>
      <c r="AP15" s="333">
        <f t="shared" si="0"/>
        <v>414705000</v>
      </c>
    </row>
    <row r="16" spans="1:42" ht="16.649999999999999" customHeight="1" x14ac:dyDescent="0.3">
      <c r="A16" s="311" t="s">
        <v>455</v>
      </c>
      <c r="B16" s="329">
        <v>0.56000000000000005</v>
      </c>
      <c r="C16" s="330">
        <v>0.626</v>
      </c>
      <c r="D16" s="330">
        <v>0.67900000000000005</v>
      </c>
      <c r="E16" s="330">
        <v>0.69699999999999995</v>
      </c>
      <c r="F16" s="330">
        <v>0.71499999999999997</v>
      </c>
      <c r="G16" s="329">
        <v>0.68300000000000005</v>
      </c>
      <c r="H16" s="330">
        <v>0.72799999999999998</v>
      </c>
      <c r="I16" s="330">
        <v>0.68899999999999995</v>
      </c>
      <c r="J16" s="330">
        <v>0.63900000000000001</v>
      </c>
      <c r="K16" s="330">
        <v>0.60199999999999998</v>
      </c>
      <c r="L16" s="329">
        <v>0.66</v>
      </c>
      <c r="M16" s="330">
        <v>0.624</v>
      </c>
      <c r="N16" s="330">
        <v>0.625</v>
      </c>
      <c r="O16" s="330">
        <v>0.69099999999999995</v>
      </c>
      <c r="P16" s="330">
        <v>0.70899999999999996</v>
      </c>
      <c r="Q16" s="329">
        <v>0.66600000000000004</v>
      </c>
      <c r="R16" s="330">
        <v>0.71499999999999997</v>
      </c>
      <c r="S16" s="330">
        <v>0.71699999999999997</v>
      </c>
      <c r="T16" s="330">
        <v>0.73399999999999999</v>
      </c>
      <c r="U16" s="330">
        <v>0.74199999999999999</v>
      </c>
      <c r="V16" s="329">
        <v>0.72799999999999998</v>
      </c>
      <c r="W16" s="330">
        <v>0.75700000000000001</v>
      </c>
      <c r="X16" s="330">
        <v>0.76800000000000002</v>
      </c>
      <c r="Y16" s="330">
        <v>0.76700000000000002</v>
      </c>
      <c r="Z16" s="330">
        <v>0.76400000000000001</v>
      </c>
      <c r="AA16" s="329">
        <v>0.76400000000000001</v>
      </c>
      <c r="AB16" s="330">
        <v>0.752</v>
      </c>
      <c r="AC16" s="330">
        <v>0.753</v>
      </c>
      <c r="AD16" s="330">
        <v>0.76100000000000001</v>
      </c>
      <c r="AE16" s="330">
        <v>0.748</v>
      </c>
      <c r="AF16" s="329">
        <v>0.754</v>
      </c>
      <c r="AG16" s="330">
        <v>0.72899999999999998</v>
      </c>
      <c r="AH16" s="330">
        <v>0.754</v>
      </c>
      <c r="AI16" s="330">
        <v>0.753</v>
      </c>
      <c r="AJ16" s="330">
        <v>0.749</v>
      </c>
      <c r="AK16" s="329">
        <v>0.747</v>
      </c>
      <c r="AL16" s="330">
        <f>IFERROR(+AL15/AL7,0)</f>
        <v>0.73683373020157872</v>
      </c>
      <c r="AM16" s="330">
        <f>IFERROR(+AM15/AM7,0)</f>
        <v>0.75206892275841986</v>
      </c>
      <c r="AN16" s="330">
        <f>IFERROR(+AN15/AN7,0)</f>
        <v>0.74486213743270624</v>
      </c>
      <c r="AO16" s="330">
        <f>IFERROR(+AO15/AO7,0)</f>
        <v>0</v>
      </c>
      <c r="AP16" s="329">
        <f>IFERROR(+AP15/AP7,0)</f>
        <v>0.74472574597382446</v>
      </c>
    </row>
    <row r="17" spans="1:42" ht="15" customHeight="1" x14ac:dyDescent="0.25">
      <c r="B17" s="319"/>
      <c r="G17" s="319"/>
      <c r="L17" s="319"/>
      <c r="Q17" s="319"/>
      <c r="V17" s="319"/>
      <c r="AA17" s="319"/>
      <c r="AF17" s="319"/>
      <c r="AK17" s="319"/>
      <c r="AP17" s="319"/>
    </row>
    <row r="18" spans="1:42" ht="16.649999999999999" customHeight="1" x14ac:dyDescent="0.25">
      <c r="A18" s="66" t="s">
        <v>456</v>
      </c>
      <c r="B18" s="315">
        <v>49367000</v>
      </c>
      <c r="C18" s="316">
        <v>14840000</v>
      </c>
      <c r="D18" s="316">
        <v>15599000</v>
      </c>
      <c r="E18" s="316">
        <v>14311000</v>
      </c>
      <c r="F18" s="316">
        <v>15963000</v>
      </c>
      <c r="G18" s="315">
        <v>60713000</v>
      </c>
      <c r="H18" s="316">
        <v>16970000</v>
      </c>
      <c r="I18" s="316">
        <v>16940000</v>
      </c>
      <c r="J18" s="316">
        <v>20469000</v>
      </c>
      <c r="K18" s="316">
        <v>31318000</v>
      </c>
      <c r="L18" s="315">
        <v>85697000</v>
      </c>
      <c r="M18" s="316">
        <v>23722000</v>
      </c>
      <c r="N18" s="316">
        <v>26445000</v>
      </c>
      <c r="O18" s="316">
        <v>27403000</v>
      </c>
      <c r="P18" s="316">
        <v>28411000</v>
      </c>
      <c r="Q18" s="315">
        <v>105981000</v>
      </c>
      <c r="R18" s="316">
        <v>26989000</v>
      </c>
      <c r="S18" s="316">
        <v>31035000</v>
      </c>
      <c r="T18" s="316">
        <v>30608000</v>
      </c>
      <c r="U18" s="316">
        <v>46479000</v>
      </c>
      <c r="V18" s="315">
        <v>135111000</v>
      </c>
      <c r="W18" s="316">
        <v>34776000</v>
      </c>
      <c r="X18" s="316">
        <v>35788000</v>
      </c>
      <c r="Y18" s="316">
        <v>41870000</v>
      </c>
      <c r="Z18" s="316">
        <v>45501000</v>
      </c>
      <c r="AA18" s="315">
        <v>157935000</v>
      </c>
      <c r="AB18" s="316">
        <v>47661000</v>
      </c>
      <c r="AC18" s="316">
        <v>46139000</v>
      </c>
      <c r="AD18" s="316">
        <v>43175000</v>
      </c>
      <c r="AE18" s="316">
        <v>52220000</v>
      </c>
      <c r="AF18" s="315">
        <v>189195000</v>
      </c>
      <c r="AG18" s="316">
        <v>34519000</v>
      </c>
      <c r="AH18" s="316">
        <v>33733000</v>
      </c>
      <c r="AI18" s="316">
        <v>37788000</v>
      </c>
      <c r="AJ18" s="316">
        <v>45161000</v>
      </c>
      <c r="AK18" s="315">
        <v>151201000</v>
      </c>
      <c r="AL18" s="316">
        <f>+'1.Input IS Trend &amp; EPS'!AZ16</f>
        <v>44118000</v>
      </c>
      <c r="AM18" s="316">
        <f>+'1.Input IS Trend &amp; EPS'!BA16</f>
        <v>43889000</v>
      </c>
      <c r="AN18" s="316">
        <f>+'1.Input IS Trend &amp; EPS'!BB16</f>
        <v>42735000</v>
      </c>
      <c r="AO18" s="316">
        <f>+'1.Input IS Trend &amp; EPS'!BC16</f>
        <v>0</v>
      </c>
      <c r="AP18" s="315">
        <f>SUM(AL18:AO18)</f>
        <v>130742000</v>
      </c>
    </row>
    <row r="19" spans="1:42" ht="16.649999999999999" customHeight="1" x14ac:dyDescent="0.3">
      <c r="A19" s="311" t="s">
        <v>450</v>
      </c>
      <c r="B19" s="329">
        <v>0.28199999999999997</v>
      </c>
      <c r="C19" s="330">
        <v>0.317</v>
      </c>
      <c r="D19" s="330">
        <v>0.28899999999999998</v>
      </c>
      <c r="E19" s="330">
        <v>0.24199999999999999</v>
      </c>
      <c r="F19" s="330">
        <v>0.26500000000000001</v>
      </c>
      <c r="G19" s="329">
        <v>0.27600000000000002</v>
      </c>
      <c r="H19" s="330">
        <v>0.27200000000000002</v>
      </c>
      <c r="I19" s="330">
        <v>0.26100000000000001</v>
      </c>
      <c r="J19" s="330">
        <v>0.25600000000000001</v>
      </c>
      <c r="K19" s="330">
        <v>0.4</v>
      </c>
      <c r="L19" s="329">
        <v>0.3</v>
      </c>
      <c r="M19" s="330">
        <v>0.28799999999999998</v>
      </c>
      <c r="N19" s="330">
        <v>0.29299999999999998</v>
      </c>
      <c r="O19" s="330">
        <v>0.26800000000000002</v>
      </c>
      <c r="P19" s="330">
        <v>0.26900000000000002</v>
      </c>
      <c r="Q19" s="329">
        <v>0.27800000000000002</v>
      </c>
      <c r="R19" s="330">
        <v>0.27100000000000002</v>
      </c>
      <c r="S19" s="330">
        <v>0.29699999999999999</v>
      </c>
      <c r="T19" s="330">
        <v>0.25600000000000001</v>
      </c>
      <c r="U19" s="330">
        <v>0.39</v>
      </c>
      <c r="V19" s="329">
        <v>0.30499999999999999</v>
      </c>
      <c r="W19" s="330">
        <v>0.29199999999999998</v>
      </c>
      <c r="X19" s="330">
        <v>0.28100000000000003</v>
      </c>
      <c r="Y19" s="330">
        <v>0.29799999999999999</v>
      </c>
      <c r="Z19" s="330">
        <v>0.32100000000000001</v>
      </c>
      <c r="AA19" s="329">
        <v>0.29899999999999999</v>
      </c>
      <c r="AB19" s="330">
        <v>0.33500000000000002</v>
      </c>
      <c r="AC19" s="330">
        <v>0.314</v>
      </c>
      <c r="AD19" s="330">
        <v>0.27200000000000002</v>
      </c>
      <c r="AE19" s="330">
        <v>0.35099999999999998</v>
      </c>
      <c r="AF19" s="329">
        <v>0.317</v>
      </c>
      <c r="AG19" s="330">
        <v>0.224</v>
      </c>
      <c r="AH19" s="330">
        <v>0.21099999999999999</v>
      </c>
      <c r="AI19" s="330">
        <v>0.217</v>
      </c>
      <c r="AJ19" s="330">
        <v>0.26300000000000001</v>
      </c>
      <c r="AK19" s="329">
        <v>0.22900000000000001</v>
      </c>
      <c r="AL19" s="330">
        <f>IFERROR(+AL18/AL7,0)</f>
        <v>0.25072601315064136</v>
      </c>
      <c r="AM19" s="330">
        <f>IFERROR(+AM18/AM7,0)</f>
        <v>0.23662006760727397</v>
      </c>
      <c r="AN19" s="330">
        <f>IFERROR(+AN18/AN7,0)</f>
        <v>0.21869178965467831</v>
      </c>
      <c r="AO19" s="330">
        <f>IFERROR(+AO18/AO7,0)</f>
        <v>0</v>
      </c>
      <c r="AP19" s="329">
        <f>IFERROR(+AP18/AP7,0)</f>
        <v>0.23478601290100135</v>
      </c>
    </row>
    <row r="20" spans="1:42" ht="16.649999999999999" customHeight="1" x14ac:dyDescent="0.25">
      <c r="A20" s="81" t="s">
        <v>273</v>
      </c>
      <c r="B20" s="319"/>
      <c r="G20" s="319"/>
      <c r="L20" s="319"/>
      <c r="Q20" s="319"/>
      <c r="V20" s="319"/>
      <c r="AA20" s="319"/>
      <c r="AF20" s="319"/>
      <c r="AK20" s="319"/>
      <c r="AP20" s="319"/>
    </row>
    <row r="21" spans="1:42" ht="16.649999999999999" customHeight="1" x14ac:dyDescent="0.25">
      <c r="A21" s="332" t="s">
        <v>452</v>
      </c>
      <c r="B21" s="297">
        <v>10513000</v>
      </c>
      <c r="C21" s="255">
        <v>3693000</v>
      </c>
      <c r="D21" s="255">
        <v>3636000</v>
      </c>
      <c r="E21" s="255">
        <v>3177000</v>
      </c>
      <c r="F21" s="255">
        <v>5138000</v>
      </c>
      <c r="G21" s="297">
        <v>15644000</v>
      </c>
      <c r="H21" s="255">
        <v>4342000</v>
      </c>
      <c r="I21" s="255">
        <v>3745000</v>
      </c>
      <c r="J21" s="255">
        <v>5945000</v>
      </c>
      <c r="K21" s="255">
        <v>14193000</v>
      </c>
      <c r="L21" s="297">
        <v>28225000</v>
      </c>
      <c r="M21" s="255">
        <v>4451000</v>
      </c>
      <c r="N21" s="255">
        <v>6346000</v>
      </c>
      <c r="O21" s="255">
        <v>6462000</v>
      </c>
      <c r="P21" s="255">
        <v>6001000</v>
      </c>
      <c r="Q21" s="297">
        <v>23260000</v>
      </c>
      <c r="R21" s="255">
        <v>5886000</v>
      </c>
      <c r="S21" s="255">
        <v>7713000</v>
      </c>
      <c r="T21" s="255">
        <v>7376000</v>
      </c>
      <c r="U21" s="255">
        <v>17985000</v>
      </c>
      <c r="V21" s="297">
        <v>38960000</v>
      </c>
      <c r="W21" s="255">
        <v>5348000</v>
      </c>
      <c r="X21" s="255">
        <v>7184000</v>
      </c>
      <c r="Y21" s="255">
        <v>9264000</v>
      </c>
      <c r="Z21" s="255">
        <v>10316000</v>
      </c>
      <c r="AA21" s="297">
        <v>32112000</v>
      </c>
      <c r="AB21" s="255">
        <v>11656000</v>
      </c>
      <c r="AC21" s="255">
        <v>12360000</v>
      </c>
      <c r="AD21" s="255">
        <v>10654000</v>
      </c>
      <c r="AE21" s="255">
        <v>20737000</v>
      </c>
      <c r="AF21" s="297">
        <v>55407000</v>
      </c>
      <c r="AG21" s="255">
        <v>5077000</v>
      </c>
      <c r="AH21" s="255">
        <v>5293000</v>
      </c>
      <c r="AI21" s="255">
        <v>6960000</v>
      </c>
      <c r="AJ21" s="255">
        <v>9859000</v>
      </c>
      <c r="AK21" s="297">
        <v>27189000</v>
      </c>
      <c r="AL21" s="255">
        <f>+'1.Input NG Expense'!AH14</f>
        <v>10205000</v>
      </c>
      <c r="AM21" s="255">
        <f>+'1.Input NG Expense'!AI14</f>
        <v>10920000</v>
      </c>
      <c r="AN21" s="255">
        <f>+'1.Input NG Expense'!AJ14</f>
        <v>10085000</v>
      </c>
      <c r="AO21" s="255">
        <f>+'1.Input NG Expense'!AK14</f>
        <v>0</v>
      </c>
      <c r="AP21" s="297">
        <f>SUM(AL21:AO21)</f>
        <v>31210000</v>
      </c>
    </row>
    <row r="22" spans="1:42" ht="16.649999999999999" customHeight="1" x14ac:dyDescent="0.3">
      <c r="A22" s="44" t="s">
        <v>457</v>
      </c>
      <c r="B22" s="333">
        <f t="shared" ref="B22:AP22" si="1">+B18-B21</f>
        <v>38854000</v>
      </c>
      <c r="C22" s="334">
        <f t="shared" si="1"/>
        <v>11147000</v>
      </c>
      <c r="D22" s="334">
        <f t="shared" si="1"/>
        <v>11963000</v>
      </c>
      <c r="E22" s="334">
        <f t="shared" si="1"/>
        <v>11134000</v>
      </c>
      <c r="F22" s="334">
        <f t="shared" si="1"/>
        <v>10825000</v>
      </c>
      <c r="G22" s="333">
        <f t="shared" si="1"/>
        <v>45069000</v>
      </c>
      <c r="H22" s="334">
        <f t="shared" si="1"/>
        <v>12628000</v>
      </c>
      <c r="I22" s="334">
        <f t="shared" si="1"/>
        <v>13195000</v>
      </c>
      <c r="J22" s="334">
        <f t="shared" si="1"/>
        <v>14524000</v>
      </c>
      <c r="K22" s="334">
        <f t="shared" si="1"/>
        <v>17125000</v>
      </c>
      <c r="L22" s="333">
        <f t="shared" si="1"/>
        <v>57472000</v>
      </c>
      <c r="M22" s="334">
        <f t="shared" si="1"/>
        <v>19271000</v>
      </c>
      <c r="N22" s="334">
        <f t="shared" si="1"/>
        <v>20099000</v>
      </c>
      <c r="O22" s="334">
        <f t="shared" si="1"/>
        <v>20941000</v>
      </c>
      <c r="P22" s="334">
        <f t="shared" si="1"/>
        <v>22410000</v>
      </c>
      <c r="Q22" s="333">
        <f t="shared" si="1"/>
        <v>82721000</v>
      </c>
      <c r="R22" s="334">
        <f t="shared" si="1"/>
        <v>21103000</v>
      </c>
      <c r="S22" s="334">
        <f t="shared" si="1"/>
        <v>23322000</v>
      </c>
      <c r="T22" s="334">
        <f t="shared" si="1"/>
        <v>23232000</v>
      </c>
      <c r="U22" s="334">
        <f t="shared" si="1"/>
        <v>28494000</v>
      </c>
      <c r="V22" s="333">
        <f t="shared" si="1"/>
        <v>96151000</v>
      </c>
      <c r="W22" s="334">
        <f t="shared" si="1"/>
        <v>29428000</v>
      </c>
      <c r="X22" s="334">
        <f t="shared" si="1"/>
        <v>28604000</v>
      </c>
      <c r="Y22" s="334">
        <f t="shared" si="1"/>
        <v>32606000</v>
      </c>
      <c r="Z22" s="334">
        <f t="shared" si="1"/>
        <v>35185000</v>
      </c>
      <c r="AA22" s="333">
        <f t="shared" si="1"/>
        <v>125823000</v>
      </c>
      <c r="AB22" s="334">
        <f t="shared" si="1"/>
        <v>36005000</v>
      </c>
      <c r="AC22" s="334">
        <f t="shared" si="1"/>
        <v>33779000</v>
      </c>
      <c r="AD22" s="334">
        <f t="shared" si="1"/>
        <v>32521000</v>
      </c>
      <c r="AE22" s="334">
        <f t="shared" si="1"/>
        <v>31483000</v>
      </c>
      <c r="AF22" s="333">
        <f t="shared" si="1"/>
        <v>133788000</v>
      </c>
      <c r="AG22" s="334">
        <f t="shared" si="1"/>
        <v>29442000</v>
      </c>
      <c r="AH22" s="334">
        <f t="shared" si="1"/>
        <v>28440000</v>
      </c>
      <c r="AI22" s="334">
        <f t="shared" si="1"/>
        <v>30828000</v>
      </c>
      <c r="AJ22" s="334">
        <f t="shared" si="1"/>
        <v>35302000</v>
      </c>
      <c r="AK22" s="333">
        <f t="shared" si="1"/>
        <v>124012000</v>
      </c>
      <c r="AL22" s="334">
        <f t="shared" si="1"/>
        <v>33913000</v>
      </c>
      <c r="AM22" s="334">
        <f t="shared" si="1"/>
        <v>32969000</v>
      </c>
      <c r="AN22" s="334">
        <f t="shared" si="1"/>
        <v>32650000</v>
      </c>
      <c r="AO22" s="334">
        <f t="shared" si="1"/>
        <v>0</v>
      </c>
      <c r="AP22" s="333">
        <f t="shared" si="1"/>
        <v>99532000</v>
      </c>
    </row>
    <row r="23" spans="1:42" ht="16.649999999999999" customHeight="1" x14ac:dyDescent="0.3">
      <c r="A23" s="311" t="s">
        <v>455</v>
      </c>
      <c r="B23" s="329">
        <v>0.23799999999999999</v>
      </c>
      <c r="C23" s="330">
        <v>0.23799999999999999</v>
      </c>
      <c r="D23" s="330">
        <v>0.221</v>
      </c>
      <c r="E23" s="330">
        <v>0.188</v>
      </c>
      <c r="F23" s="330">
        <v>0.18</v>
      </c>
      <c r="G23" s="329">
        <v>0.20499999999999999</v>
      </c>
      <c r="H23" s="330">
        <v>0.20200000000000001</v>
      </c>
      <c r="I23" s="330">
        <v>0.20399999999999999</v>
      </c>
      <c r="J23" s="330">
        <v>0.182</v>
      </c>
      <c r="K23" s="330">
        <v>0.219</v>
      </c>
      <c r="L23" s="329">
        <v>0.20100000000000001</v>
      </c>
      <c r="M23" s="330">
        <v>0.23400000000000001</v>
      </c>
      <c r="N23" s="330">
        <v>0.223</v>
      </c>
      <c r="O23" s="330">
        <v>0.20499999999999999</v>
      </c>
      <c r="P23" s="330">
        <v>0.21199999999999999</v>
      </c>
      <c r="Q23" s="329">
        <v>0.217</v>
      </c>
      <c r="R23" s="330">
        <v>0.21199999999999999</v>
      </c>
      <c r="S23" s="330">
        <v>0.223</v>
      </c>
      <c r="T23" s="330">
        <v>0.19400000000000001</v>
      </c>
      <c r="U23" s="330">
        <v>0.23899999999999999</v>
      </c>
      <c r="V23" s="329">
        <v>0.217</v>
      </c>
      <c r="W23" s="330">
        <v>0.247</v>
      </c>
      <c r="X23" s="330">
        <v>0.22500000000000001</v>
      </c>
      <c r="Y23" s="330">
        <v>0.23200000000000001</v>
      </c>
      <c r="Z23" s="330">
        <v>0.248</v>
      </c>
      <c r="AA23" s="329">
        <v>0.23799999999999999</v>
      </c>
      <c r="AB23" s="330">
        <v>0.253</v>
      </c>
      <c r="AC23" s="330">
        <v>0.23</v>
      </c>
      <c r="AD23" s="330">
        <v>0.20499999999999999</v>
      </c>
      <c r="AE23" s="330">
        <v>0.21199999999999999</v>
      </c>
      <c r="AF23" s="329">
        <v>0.224</v>
      </c>
      <c r="AG23" s="330">
        <v>0.191</v>
      </c>
      <c r="AH23" s="330">
        <v>0.17799999999999999</v>
      </c>
      <c r="AI23" s="330">
        <v>0.17699999999999999</v>
      </c>
      <c r="AJ23" s="330">
        <v>0.20499999999999999</v>
      </c>
      <c r="AK23" s="329">
        <v>0.188</v>
      </c>
      <c r="AL23" s="330">
        <f>IFERROR(+AL22/AL7,0)</f>
        <v>0.19273020726183643</v>
      </c>
      <c r="AM23" s="330">
        <f>IFERROR(+AM22/AM7,0)</f>
        <v>0.1777467476803804</v>
      </c>
      <c r="AN23" s="330">
        <f>IFERROR(+AN22/AN7,0)</f>
        <v>0.16708288129695209</v>
      </c>
      <c r="AO23" s="330">
        <f>IFERROR(+AO22/AO7,0)</f>
        <v>0</v>
      </c>
      <c r="AP23" s="329">
        <f>IFERROR(+AP22/AP7,0)</f>
        <v>0.17873920726363729</v>
      </c>
    </row>
    <row r="24" spans="1:42" ht="15" customHeight="1" x14ac:dyDescent="0.25">
      <c r="B24" s="319"/>
      <c r="G24" s="319"/>
      <c r="L24" s="319"/>
      <c r="Q24" s="319"/>
      <c r="V24" s="319"/>
      <c r="AA24" s="319"/>
      <c r="AF24" s="319"/>
      <c r="AK24" s="319"/>
      <c r="AP24" s="319"/>
    </row>
    <row r="25" spans="1:42" ht="16.649999999999999" customHeight="1" x14ac:dyDescent="0.25">
      <c r="A25" s="66" t="s">
        <v>458</v>
      </c>
      <c r="B25" s="315">
        <v>59258000</v>
      </c>
      <c r="C25" s="316">
        <v>24091000</v>
      </c>
      <c r="D25" s="316">
        <v>25981000</v>
      </c>
      <c r="E25" s="316">
        <v>27832000</v>
      </c>
      <c r="F25" s="316">
        <v>30735000</v>
      </c>
      <c r="G25" s="315">
        <v>108639000</v>
      </c>
      <c r="H25" s="316">
        <v>33323000</v>
      </c>
      <c r="I25" s="316">
        <v>35940000</v>
      </c>
      <c r="J25" s="316">
        <v>40054000</v>
      </c>
      <c r="K25" s="316">
        <v>49223000</v>
      </c>
      <c r="L25" s="315">
        <v>158540000</v>
      </c>
      <c r="M25" s="316">
        <v>43144000</v>
      </c>
      <c r="N25" s="316">
        <v>45204000</v>
      </c>
      <c r="O25" s="316">
        <v>51993000</v>
      </c>
      <c r="P25" s="316">
        <v>48564000</v>
      </c>
      <c r="Q25" s="315">
        <v>188905000</v>
      </c>
      <c r="R25" s="316">
        <v>38627000</v>
      </c>
      <c r="S25" s="316">
        <v>41705000</v>
      </c>
      <c r="T25" s="316">
        <v>43904000</v>
      </c>
      <c r="U25" s="316">
        <v>53307000</v>
      </c>
      <c r="V25" s="315">
        <v>177543000</v>
      </c>
      <c r="W25" s="316">
        <v>41979000</v>
      </c>
      <c r="X25" s="316">
        <v>39509000</v>
      </c>
      <c r="Y25" s="316">
        <v>46324000</v>
      </c>
      <c r="Z25" s="316">
        <v>54951000</v>
      </c>
      <c r="AA25" s="315">
        <v>182763000</v>
      </c>
      <c r="AB25" s="316">
        <v>51280000</v>
      </c>
      <c r="AC25" s="316">
        <v>45949000</v>
      </c>
      <c r="AD25" s="316">
        <v>47702000</v>
      </c>
      <c r="AE25" s="316">
        <v>57506000</v>
      </c>
      <c r="AF25" s="315">
        <v>202437000</v>
      </c>
      <c r="AG25" s="316">
        <v>44879000</v>
      </c>
      <c r="AH25" s="316">
        <v>44135000</v>
      </c>
      <c r="AI25" s="316">
        <v>46203000</v>
      </c>
      <c r="AJ25" s="316">
        <v>60476000</v>
      </c>
      <c r="AK25" s="315">
        <v>195693000</v>
      </c>
      <c r="AL25" s="316">
        <f>+'1.Input IS Trend &amp; EPS'!AZ17</f>
        <v>54175000</v>
      </c>
      <c r="AM25" s="316">
        <f>+'1.Input IS Trend &amp; EPS'!BA17</f>
        <v>51107000</v>
      </c>
      <c r="AN25" s="316">
        <f>+'1.Input IS Trend &amp; EPS'!BB17</f>
        <v>50863000</v>
      </c>
      <c r="AO25" s="316">
        <f>+'1.Input IS Trend &amp; EPS'!BC17</f>
        <v>0</v>
      </c>
      <c r="AP25" s="315">
        <f>SUM(AL25:AO25)</f>
        <v>156145000</v>
      </c>
    </row>
    <row r="26" spans="1:42" ht="16.649999999999999" customHeight="1" x14ac:dyDescent="0.3">
      <c r="A26" s="311" t="s">
        <v>450</v>
      </c>
      <c r="B26" s="329">
        <v>0.33900000000000002</v>
      </c>
      <c r="C26" s="330">
        <v>0.51500000000000001</v>
      </c>
      <c r="D26" s="330">
        <v>0.48099999999999998</v>
      </c>
      <c r="E26" s="330">
        <v>0.47099999999999997</v>
      </c>
      <c r="F26" s="330">
        <v>0.51</v>
      </c>
      <c r="G26" s="329">
        <v>0.49399999999999999</v>
      </c>
      <c r="H26" s="330">
        <v>0.53300000000000003</v>
      </c>
      <c r="I26" s="330">
        <v>0.55500000000000005</v>
      </c>
      <c r="J26" s="330">
        <v>0.501</v>
      </c>
      <c r="K26" s="330">
        <v>0.629</v>
      </c>
      <c r="L26" s="329">
        <v>0.55500000000000005</v>
      </c>
      <c r="M26" s="330">
        <v>0.52300000000000002</v>
      </c>
      <c r="N26" s="330">
        <v>0.501</v>
      </c>
      <c r="O26" s="330">
        <v>0.50900000000000001</v>
      </c>
      <c r="P26" s="330">
        <v>0.45900000000000002</v>
      </c>
      <c r="Q26" s="329">
        <v>0.496</v>
      </c>
      <c r="R26" s="330">
        <v>0.38800000000000001</v>
      </c>
      <c r="S26" s="330">
        <v>0.39800000000000002</v>
      </c>
      <c r="T26" s="330">
        <v>0.36699999999999999</v>
      </c>
      <c r="U26" s="330">
        <v>0.44700000000000001</v>
      </c>
      <c r="V26" s="329">
        <v>0.40100000000000002</v>
      </c>
      <c r="W26" s="330">
        <v>0.35299999999999998</v>
      </c>
      <c r="X26" s="330">
        <v>0.31</v>
      </c>
      <c r="Y26" s="330">
        <v>0.32900000000000001</v>
      </c>
      <c r="Z26" s="330">
        <v>0.38800000000000001</v>
      </c>
      <c r="AA26" s="329">
        <v>0.34599999999999997</v>
      </c>
      <c r="AB26" s="330">
        <v>0.36099999999999999</v>
      </c>
      <c r="AC26" s="330">
        <v>0.312</v>
      </c>
      <c r="AD26" s="330">
        <v>0.30099999999999999</v>
      </c>
      <c r="AE26" s="330">
        <v>0.38700000000000001</v>
      </c>
      <c r="AF26" s="329">
        <v>0.33900000000000002</v>
      </c>
      <c r="AG26" s="330">
        <v>0.29099999999999998</v>
      </c>
      <c r="AH26" s="330">
        <v>0.27600000000000002</v>
      </c>
      <c r="AI26" s="330">
        <v>0.26600000000000001</v>
      </c>
      <c r="AJ26" s="330">
        <v>0.35199999999999998</v>
      </c>
      <c r="AK26" s="329">
        <v>0.29699999999999999</v>
      </c>
      <c r="AL26" s="330">
        <f>IFERROR(+AL25/AL7,0)</f>
        <v>0.30788072356942731</v>
      </c>
      <c r="AM26" s="330">
        <f>IFERROR(+AM25/AM7,0)</f>
        <v>0.275534685119391</v>
      </c>
      <c r="AN26" s="330">
        <f>IFERROR(+AN25/AN7,0)</f>
        <v>0.26028595992057807</v>
      </c>
      <c r="AO26" s="330">
        <f>IFERROR(+AO25/AO7,0)</f>
        <v>0</v>
      </c>
      <c r="AP26" s="329">
        <f>IFERROR(+AP25/AP7,0)</f>
        <v>0.28040462884480011</v>
      </c>
    </row>
    <row r="27" spans="1:42" ht="16.649999999999999" customHeight="1" x14ac:dyDescent="0.25">
      <c r="A27" s="81" t="s">
        <v>273</v>
      </c>
      <c r="B27" s="319"/>
      <c r="G27" s="319"/>
      <c r="L27" s="319"/>
      <c r="Q27" s="319"/>
      <c r="V27" s="319"/>
      <c r="AA27" s="319"/>
      <c r="AF27" s="319"/>
      <c r="AK27" s="319"/>
      <c r="AP27" s="319"/>
    </row>
    <row r="28" spans="1:42" ht="16.649999999999999" customHeight="1" x14ac:dyDescent="0.25">
      <c r="A28" s="332" t="s">
        <v>452</v>
      </c>
      <c r="B28" s="297">
        <v>7493000</v>
      </c>
      <c r="C28" s="255">
        <v>5454000</v>
      </c>
      <c r="D28" s="255">
        <v>5730000</v>
      </c>
      <c r="E28" s="255">
        <v>6251000</v>
      </c>
      <c r="F28" s="255">
        <v>5946000</v>
      </c>
      <c r="G28" s="297">
        <v>23381000</v>
      </c>
      <c r="H28" s="255">
        <v>9920000</v>
      </c>
      <c r="I28" s="255">
        <v>9854000</v>
      </c>
      <c r="J28" s="255">
        <v>9460000</v>
      </c>
      <c r="K28" s="255">
        <v>14736000</v>
      </c>
      <c r="L28" s="297">
        <v>43970000</v>
      </c>
      <c r="M28" s="255">
        <v>8920000</v>
      </c>
      <c r="N28" s="255">
        <v>9758000</v>
      </c>
      <c r="O28" s="255">
        <v>15670000</v>
      </c>
      <c r="P28" s="255">
        <v>3678000</v>
      </c>
      <c r="Q28" s="297">
        <v>38026000</v>
      </c>
      <c r="R28" s="255">
        <v>7123000</v>
      </c>
      <c r="S28" s="255">
        <v>9233000</v>
      </c>
      <c r="T28" s="255">
        <v>9212000</v>
      </c>
      <c r="U28" s="255">
        <v>14833000</v>
      </c>
      <c r="V28" s="297">
        <v>40401000</v>
      </c>
      <c r="W28" s="255">
        <v>6793000</v>
      </c>
      <c r="X28" s="255">
        <v>6749000</v>
      </c>
      <c r="Y28" s="255">
        <v>7329000</v>
      </c>
      <c r="Z28" s="255">
        <v>7715000</v>
      </c>
      <c r="AA28" s="297">
        <v>28586000</v>
      </c>
      <c r="AB28" s="255">
        <v>5884000</v>
      </c>
      <c r="AC28" s="255">
        <v>6116000</v>
      </c>
      <c r="AD28" s="255">
        <v>5871000</v>
      </c>
      <c r="AE28" s="255">
        <v>11558000</v>
      </c>
      <c r="AF28" s="297">
        <v>29429000</v>
      </c>
      <c r="AG28" s="255">
        <v>3736000</v>
      </c>
      <c r="AH28" s="255">
        <v>4786000</v>
      </c>
      <c r="AI28" s="255">
        <v>4089000</v>
      </c>
      <c r="AJ28" s="255">
        <v>6337000</v>
      </c>
      <c r="AK28" s="297">
        <v>18948000</v>
      </c>
      <c r="AL28" s="255">
        <f>+'1.Input NG Expense'!AH15</f>
        <v>7093000</v>
      </c>
      <c r="AM28" s="255">
        <f>+'1.Input NG Expense'!AI15</f>
        <v>7383000</v>
      </c>
      <c r="AN28" s="255">
        <f>+'1.Input NG Expense'!AJ15</f>
        <v>7278000</v>
      </c>
      <c r="AO28" s="255">
        <f>+'1.Input NG Expense'!AK15</f>
        <v>0</v>
      </c>
      <c r="AP28" s="297">
        <f>SUM(AL28:AO28)</f>
        <v>21754000</v>
      </c>
    </row>
    <row r="29" spans="1:42" ht="16.649999999999999" customHeight="1" x14ac:dyDescent="0.3">
      <c r="A29" s="44" t="s">
        <v>459</v>
      </c>
      <c r="B29" s="333">
        <f t="shared" ref="B29:AP29" si="2">+B25-B28</f>
        <v>51765000</v>
      </c>
      <c r="C29" s="334">
        <f t="shared" si="2"/>
        <v>18637000</v>
      </c>
      <c r="D29" s="334">
        <f t="shared" si="2"/>
        <v>20251000</v>
      </c>
      <c r="E29" s="334">
        <f t="shared" si="2"/>
        <v>21581000</v>
      </c>
      <c r="F29" s="334">
        <f t="shared" si="2"/>
        <v>24789000</v>
      </c>
      <c r="G29" s="333">
        <f t="shared" si="2"/>
        <v>85258000</v>
      </c>
      <c r="H29" s="334">
        <f t="shared" si="2"/>
        <v>23403000</v>
      </c>
      <c r="I29" s="334">
        <f t="shared" si="2"/>
        <v>26086000</v>
      </c>
      <c r="J29" s="334">
        <f t="shared" si="2"/>
        <v>30594000</v>
      </c>
      <c r="K29" s="334">
        <f t="shared" si="2"/>
        <v>34487000</v>
      </c>
      <c r="L29" s="333">
        <f t="shared" si="2"/>
        <v>114570000</v>
      </c>
      <c r="M29" s="334">
        <f t="shared" si="2"/>
        <v>34224000</v>
      </c>
      <c r="N29" s="334">
        <f t="shared" si="2"/>
        <v>35446000</v>
      </c>
      <c r="O29" s="334">
        <f t="shared" si="2"/>
        <v>36323000</v>
      </c>
      <c r="P29" s="334">
        <f t="shared" si="2"/>
        <v>44886000</v>
      </c>
      <c r="Q29" s="333">
        <f t="shared" si="2"/>
        <v>150879000</v>
      </c>
      <c r="R29" s="334">
        <f t="shared" si="2"/>
        <v>31504000</v>
      </c>
      <c r="S29" s="334">
        <f t="shared" si="2"/>
        <v>32472000</v>
      </c>
      <c r="T29" s="334">
        <f t="shared" si="2"/>
        <v>34692000</v>
      </c>
      <c r="U29" s="334">
        <f t="shared" si="2"/>
        <v>38474000</v>
      </c>
      <c r="V29" s="333">
        <f t="shared" si="2"/>
        <v>137142000</v>
      </c>
      <c r="W29" s="334">
        <f t="shared" si="2"/>
        <v>35186000</v>
      </c>
      <c r="X29" s="334">
        <f t="shared" si="2"/>
        <v>32760000</v>
      </c>
      <c r="Y29" s="334">
        <f t="shared" si="2"/>
        <v>38995000</v>
      </c>
      <c r="Z29" s="334">
        <f t="shared" si="2"/>
        <v>47236000</v>
      </c>
      <c r="AA29" s="333">
        <f t="shared" si="2"/>
        <v>154177000</v>
      </c>
      <c r="AB29" s="334">
        <f t="shared" si="2"/>
        <v>45396000</v>
      </c>
      <c r="AC29" s="334">
        <f t="shared" si="2"/>
        <v>39833000</v>
      </c>
      <c r="AD29" s="334">
        <f t="shared" si="2"/>
        <v>41831000</v>
      </c>
      <c r="AE29" s="334">
        <f t="shared" si="2"/>
        <v>45948000</v>
      </c>
      <c r="AF29" s="333">
        <f t="shared" si="2"/>
        <v>173008000</v>
      </c>
      <c r="AG29" s="334">
        <f t="shared" si="2"/>
        <v>41143000</v>
      </c>
      <c r="AH29" s="334">
        <f t="shared" si="2"/>
        <v>39349000</v>
      </c>
      <c r="AI29" s="334">
        <f t="shared" si="2"/>
        <v>42114000</v>
      </c>
      <c r="AJ29" s="334">
        <f t="shared" si="2"/>
        <v>54139000</v>
      </c>
      <c r="AK29" s="333">
        <f t="shared" si="2"/>
        <v>176745000</v>
      </c>
      <c r="AL29" s="334">
        <f t="shared" si="2"/>
        <v>47082000</v>
      </c>
      <c r="AM29" s="334">
        <f t="shared" si="2"/>
        <v>43724000</v>
      </c>
      <c r="AN29" s="334">
        <f t="shared" si="2"/>
        <v>43585000</v>
      </c>
      <c r="AO29" s="334">
        <f t="shared" si="2"/>
        <v>0</v>
      </c>
      <c r="AP29" s="333">
        <f t="shared" si="2"/>
        <v>134391000</v>
      </c>
    </row>
    <row r="30" spans="1:42" ht="16.649999999999999" customHeight="1" x14ac:dyDescent="0.3">
      <c r="A30" s="311" t="s">
        <v>455</v>
      </c>
      <c r="B30" s="329">
        <v>0.29599999999999999</v>
      </c>
      <c r="C30" s="330">
        <v>0.39900000000000002</v>
      </c>
      <c r="D30" s="330">
        <v>0.375</v>
      </c>
      <c r="E30" s="330">
        <v>0.36499999999999999</v>
      </c>
      <c r="F30" s="330">
        <v>0.41199999999999998</v>
      </c>
      <c r="G30" s="329">
        <v>0.38700000000000001</v>
      </c>
      <c r="H30" s="330">
        <v>0.375</v>
      </c>
      <c r="I30" s="330">
        <v>0.40200000000000002</v>
      </c>
      <c r="J30" s="330">
        <v>0.38200000000000001</v>
      </c>
      <c r="K30" s="330">
        <v>0.44</v>
      </c>
      <c r="L30" s="329">
        <v>0.40100000000000002</v>
      </c>
      <c r="M30" s="330">
        <v>0.41499999999999998</v>
      </c>
      <c r="N30" s="330">
        <v>0.39300000000000002</v>
      </c>
      <c r="O30" s="330">
        <v>0.35499999999999998</v>
      </c>
      <c r="P30" s="330">
        <v>0.42499999999999999</v>
      </c>
      <c r="Q30" s="329">
        <v>0.39600000000000002</v>
      </c>
      <c r="R30" s="330">
        <v>0.317</v>
      </c>
      <c r="S30" s="330">
        <v>0.31</v>
      </c>
      <c r="T30" s="330">
        <v>0.28999999999999998</v>
      </c>
      <c r="U30" s="330">
        <v>0.32300000000000001</v>
      </c>
      <c r="V30" s="329">
        <v>0.31</v>
      </c>
      <c r="W30" s="330">
        <v>0.29599999999999999</v>
      </c>
      <c r="X30" s="330">
        <v>0.25700000000000001</v>
      </c>
      <c r="Y30" s="330">
        <v>0.27700000000000002</v>
      </c>
      <c r="Z30" s="330">
        <v>0.33300000000000002</v>
      </c>
      <c r="AA30" s="329">
        <v>0.29199999999999998</v>
      </c>
      <c r="AB30" s="330">
        <v>0.31900000000000001</v>
      </c>
      <c r="AC30" s="330">
        <v>0.27100000000000002</v>
      </c>
      <c r="AD30" s="330">
        <v>0.26400000000000001</v>
      </c>
      <c r="AE30" s="330">
        <v>0.309</v>
      </c>
      <c r="AF30" s="329">
        <v>0.28999999999999998</v>
      </c>
      <c r="AG30" s="330">
        <v>0.26700000000000002</v>
      </c>
      <c r="AH30" s="330">
        <v>0.246</v>
      </c>
      <c r="AI30" s="330">
        <v>0.24199999999999999</v>
      </c>
      <c r="AJ30" s="330">
        <v>0.315</v>
      </c>
      <c r="AK30" s="329">
        <v>0.26800000000000002</v>
      </c>
      <c r="AL30" s="330">
        <f>IFERROR(+AL29/AL7,0)</f>
        <v>0.26757065486102033</v>
      </c>
      <c r="AM30" s="330">
        <f>IFERROR(+AM29/AM7,0)</f>
        <v>0.23573049821277423</v>
      </c>
      <c r="AN30" s="330">
        <f>IFERROR(+AN29/AN7,0)</f>
        <v>0.22304157370069391</v>
      </c>
      <c r="AO30" s="330">
        <f>IFERROR(+AO29/AO7,0)</f>
        <v>0</v>
      </c>
      <c r="AP30" s="329">
        <f>IFERROR(+AP29/AP7,0)</f>
        <v>0.24133887396382547</v>
      </c>
    </row>
    <row r="31" spans="1:42" ht="15" customHeight="1" x14ac:dyDescent="0.25">
      <c r="B31" s="319"/>
      <c r="G31" s="319"/>
      <c r="L31" s="319"/>
      <c r="Q31" s="319"/>
      <c r="V31" s="319"/>
      <c r="AA31" s="319"/>
      <c r="AF31" s="319"/>
      <c r="AK31" s="319"/>
      <c r="AP31" s="319"/>
    </row>
    <row r="32" spans="1:42" ht="16.649999999999999" customHeight="1" x14ac:dyDescent="0.25">
      <c r="A32" s="66" t="s">
        <v>460</v>
      </c>
      <c r="B32" s="315">
        <v>92898000</v>
      </c>
      <c r="C32" s="316">
        <v>23587000</v>
      </c>
      <c r="D32" s="316">
        <v>23724000</v>
      </c>
      <c r="E32" s="316">
        <v>20929000</v>
      </c>
      <c r="F32" s="316">
        <v>16914000</v>
      </c>
      <c r="G32" s="315">
        <v>85154000</v>
      </c>
      <c r="H32" s="316">
        <v>18125000</v>
      </c>
      <c r="I32" s="316">
        <v>25176000</v>
      </c>
      <c r="J32" s="316">
        <v>27828000</v>
      </c>
      <c r="K32" s="316">
        <v>27749000</v>
      </c>
      <c r="L32" s="315">
        <v>98878000</v>
      </c>
      <c r="M32" s="316">
        <v>25318000</v>
      </c>
      <c r="N32" s="316">
        <v>27262000</v>
      </c>
      <c r="O32" s="316">
        <v>26107000</v>
      </c>
      <c r="P32" s="316">
        <v>30216000</v>
      </c>
      <c r="Q32" s="315">
        <v>108903000</v>
      </c>
      <c r="R32" s="316">
        <v>23368000</v>
      </c>
      <c r="S32" s="316">
        <v>24495000</v>
      </c>
      <c r="T32" s="316">
        <v>23943000</v>
      </c>
      <c r="U32" s="316">
        <v>32395000</v>
      </c>
      <c r="V32" s="315">
        <v>104201000</v>
      </c>
      <c r="W32" s="316">
        <v>24291000</v>
      </c>
      <c r="X32" s="316">
        <v>23078000</v>
      </c>
      <c r="Y32" s="316">
        <v>27639000</v>
      </c>
      <c r="Z32" s="316">
        <v>29583000</v>
      </c>
      <c r="AA32" s="315">
        <v>104591000</v>
      </c>
      <c r="AB32" s="316">
        <v>27144000</v>
      </c>
      <c r="AC32" s="316">
        <v>28718000</v>
      </c>
      <c r="AD32" s="316">
        <v>36657000</v>
      </c>
      <c r="AE32" s="316">
        <v>32832000</v>
      </c>
      <c r="AF32" s="315">
        <v>125351000</v>
      </c>
      <c r="AG32" s="316">
        <v>26664000</v>
      </c>
      <c r="AH32" s="316">
        <v>26009000</v>
      </c>
      <c r="AI32" s="316">
        <v>27241000</v>
      </c>
      <c r="AJ32" s="316">
        <v>30252000</v>
      </c>
      <c r="AK32" s="315">
        <v>110166000</v>
      </c>
      <c r="AL32" s="316">
        <f>+'1.Input IS Trend &amp; EPS'!AZ18</f>
        <v>30961000</v>
      </c>
      <c r="AM32" s="316">
        <f>+'1.Input IS Trend &amp; EPS'!BA18</f>
        <v>31369000</v>
      </c>
      <c r="AN32" s="316">
        <f>+'1.Input IS Trend &amp; EPS'!BB18</f>
        <v>31994000</v>
      </c>
      <c r="AO32" s="316">
        <f>+'1.Input IS Trend &amp; EPS'!BC18</f>
        <v>0</v>
      </c>
      <c r="AP32" s="315">
        <f>SUM(AL32:AO32)</f>
        <v>94324000</v>
      </c>
    </row>
    <row r="33" spans="1:42" ht="16.649999999999999" customHeight="1" x14ac:dyDescent="0.3">
      <c r="A33" s="311" t="s">
        <v>450</v>
      </c>
      <c r="B33" s="329">
        <v>0.53200000000000003</v>
      </c>
      <c r="C33" s="330">
        <v>0.504</v>
      </c>
      <c r="D33" s="330">
        <v>0.439</v>
      </c>
      <c r="E33" s="330">
        <v>0.35399999999999998</v>
      </c>
      <c r="F33" s="330">
        <v>0.28100000000000003</v>
      </c>
      <c r="G33" s="329">
        <v>0.38700000000000001</v>
      </c>
      <c r="H33" s="330">
        <v>0.28999999999999998</v>
      </c>
      <c r="I33" s="330">
        <v>0.38800000000000001</v>
      </c>
      <c r="J33" s="330">
        <v>0.34799999999999998</v>
      </c>
      <c r="K33" s="330">
        <v>0.35399999999999998</v>
      </c>
      <c r="L33" s="329">
        <v>0.34599999999999997</v>
      </c>
      <c r="M33" s="330">
        <v>0.307</v>
      </c>
      <c r="N33" s="330">
        <v>0.30199999999999999</v>
      </c>
      <c r="O33" s="330">
        <v>0.255</v>
      </c>
      <c r="P33" s="330">
        <v>0.28599999999999998</v>
      </c>
      <c r="Q33" s="329">
        <v>0.28599999999999998</v>
      </c>
      <c r="R33" s="330">
        <v>0.23499999999999999</v>
      </c>
      <c r="S33" s="330">
        <v>0.23400000000000001</v>
      </c>
      <c r="T33" s="330">
        <v>0.2</v>
      </c>
      <c r="U33" s="330">
        <v>0.27200000000000002</v>
      </c>
      <c r="V33" s="329">
        <v>0.23499999999999999</v>
      </c>
      <c r="W33" s="330">
        <v>0.20399999999999999</v>
      </c>
      <c r="X33" s="330">
        <v>0.18099999999999999</v>
      </c>
      <c r="Y33" s="330">
        <v>0.19700000000000001</v>
      </c>
      <c r="Z33" s="330">
        <v>0.20899999999999999</v>
      </c>
      <c r="AA33" s="329">
        <v>0.19800000000000001</v>
      </c>
      <c r="AB33" s="330">
        <v>0.191</v>
      </c>
      <c r="AC33" s="330">
        <v>0.19500000000000001</v>
      </c>
      <c r="AD33" s="330">
        <v>0.23100000000000001</v>
      </c>
      <c r="AE33" s="330">
        <v>0.221</v>
      </c>
      <c r="AF33" s="329">
        <v>0.21</v>
      </c>
      <c r="AG33" s="330">
        <v>0.17299999999999999</v>
      </c>
      <c r="AH33" s="330">
        <v>0.16300000000000001</v>
      </c>
      <c r="AI33" s="330">
        <v>0.157</v>
      </c>
      <c r="AJ33" s="330">
        <v>0.17599999999999999</v>
      </c>
      <c r="AK33" s="329">
        <v>0.16700000000000001</v>
      </c>
      <c r="AL33" s="330">
        <f>IFERROR(+AL32/AL7,0)</f>
        <v>0.17595376248145897</v>
      </c>
      <c r="AM33" s="330">
        <f>IFERROR(+AM32/AM7,0)</f>
        <v>0.1691206202185645</v>
      </c>
      <c r="AN33" s="330">
        <f>IFERROR(+AN32/AN7,0)</f>
        <v>0.16372587149202711</v>
      </c>
      <c r="AO33" s="330">
        <f>IFERROR(+AO32/AO7,0)</f>
        <v>0</v>
      </c>
      <c r="AP33" s="329">
        <f>IFERROR(+AP32/AP7,0)</f>
        <v>0.16938669961354461</v>
      </c>
    </row>
    <row r="34" spans="1:42" ht="16.649999999999999" customHeight="1" x14ac:dyDescent="0.25">
      <c r="A34" s="81" t="s">
        <v>273</v>
      </c>
      <c r="B34" s="319"/>
      <c r="G34" s="319"/>
      <c r="L34" s="319"/>
      <c r="Q34" s="319"/>
      <c r="V34" s="319"/>
      <c r="AA34" s="319"/>
      <c r="AF34" s="319"/>
      <c r="AK34" s="319"/>
      <c r="AP34" s="319"/>
    </row>
    <row r="35" spans="1:42" ht="16.649999999999999" customHeight="1" x14ac:dyDescent="0.25">
      <c r="A35" s="331" t="s">
        <v>452</v>
      </c>
      <c r="B35" s="304">
        <v>17471000</v>
      </c>
      <c r="C35" s="83">
        <v>2616000</v>
      </c>
      <c r="D35" s="83">
        <v>3134000</v>
      </c>
      <c r="E35" s="83">
        <v>3190000</v>
      </c>
      <c r="F35" s="83">
        <v>2252000</v>
      </c>
      <c r="G35" s="304">
        <v>11192000</v>
      </c>
      <c r="H35" s="83">
        <v>2824000</v>
      </c>
      <c r="I35" s="83">
        <v>3286000</v>
      </c>
      <c r="J35" s="83">
        <v>9625000</v>
      </c>
      <c r="K35" s="83">
        <v>10083000</v>
      </c>
      <c r="L35" s="304">
        <v>25818000</v>
      </c>
      <c r="M35" s="83">
        <v>4504000</v>
      </c>
      <c r="N35" s="83">
        <v>6190000</v>
      </c>
      <c r="O35" s="83">
        <v>7135000</v>
      </c>
      <c r="P35" s="83">
        <v>6563000</v>
      </c>
      <c r="Q35" s="304">
        <v>24392000</v>
      </c>
      <c r="R35" s="83">
        <v>2701000</v>
      </c>
      <c r="S35" s="83">
        <v>6345000</v>
      </c>
      <c r="T35" s="83">
        <v>6318000</v>
      </c>
      <c r="U35" s="83">
        <v>11682000</v>
      </c>
      <c r="V35" s="304">
        <v>27046000</v>
      </c>
      <c r="W35" s="83">
        <v>5565000</v>
      </c>
      <c r="X35" s="83">
        <v>4340000</v>
      </c>
      <c r="Y35" s="83">
        <v>5997000</v>
      </c>
      <c r="Z35" s="83">
        <v>6546000</v>
      </c>
      <c r="AA35" s="304">
        <v>22448000</v>
      </c>
      <c r="AB35" s="83">
        <v>5522000</v>
      </c>
      <c r="AC35" s="83">
        <v>7524000</v>
      </c>
      <c r="AD35" s="83">
        <v>11891000</v>
      </c>
      <c r="AE35" s="83">
        <v>9710000</v>
      </c>
      <c r="AF35" s="304">
        <v>34647000</v>
      </c>
      <c r="AG35" s="83">
        <v>3850000</v>
      </c>
      <c r="AH35" s="83">
        <v>5027000</v>
      </c>
      <c r="AI35" s="83">
        <v>5631000</v>
      </c>
      <c r="AJ35" s="83">
        <v>7106000</v>
      </c>
      <c r="AK35" s="304">
        <v>21614000</v>
      </c>
      <c r="AL35" s="83">
        <f>+'1.Input NG Expense'!AH16</f>
        <v>9091000</v>
      </c>
      <c r="AM35" s="83">
        <f>+'1.Input NG Expense'!AI16</f>
        <v>9266000</v>
      </c>
      <c r="AN35" s="83">
        <f>+'1.Input NG Expense'!AJ16</f>
        <v>7942000</v>
      </c>
      <c r="AO35" s="83">
        <f>+'1.Input NG Expense'!AK16</f>
        <v>0</v>
      </c>
      <c r="AP35" s="304">
        <f>SUM(AL35:AO35)</f>
        <v>26299000</v>
      </c>
    </row>
    <row r="36" spans="1:42" ht="16.649999999999999" customHeight="1" x14ac:dyDescent="0.25">
      <c r="A36" s="331" t="s">
        <v>461</v>
      </c>
      <c r="B36" s="304">
        <v>8639000</v>
      </c>
      <c r="C36" s="83">
        <v>7119000</v>
      </c>
      <c r="D36" s="83">
        <v>5453000</v>
      </c>
      <c r="E36" s="83">
        <v>5214000</v>
      </c>
      <c r="F36" s="83">
        <v>0</v>
      </c>
      <c r="G36" s="304">
        <v>17786000</v>
      </c>
      <c r="H36" s="83">
        <v>0</v>
      </c>
      <c r="I36" s="83">
        <v>2122000</v>
      </c>
      <c r="J36" s="83">
        <v>700000</v>
      </c>
      <c r="K36" s="83">
        <v>-705000</v>
      </c>
      <c r="L36" s="304">
        <v>2117000</v>
      </c>
      <c r="M36" s="83">
        <v>0</v>
      </c>
      <c r="N36" s="83">
        <v>0</v>
      </c>
      <c r="O36" s="83">
        <v>0</v>
      </c>
      <c r="P36" s="83">
        <v>0</v>
      </c>
      <c r="Q36" s="304">
        <v>0</v>
      </c>
      <c r="R36" s="83">
        <v>3605000</v>
      </c>
      <c r="S36" s="83">
        <v>258000</v>
      </c>
      <c r="T36" s="83">
        <v>0</v>
      </c>
      <c r="U36" s="83">
        <v>0</v>
      </c>
      <c r="V36" s="304">
        <v>3863000</v>
      </c>
      <c r="W36" s="83">
        <v>0</v>
      </c>
      <c r="X36" s="83">
        <v>0</v>
      </c>
      <c r="Y36" s="83">
        <v>0</v>
      </c>
      <c r="Z36" s="83">
        <v>0</v>
      </c>
      <c r="AA36" s="304">
        <v>0</v>
      </c>
      <c r="AB36" s="83">
        <v>0</v>
      </c>
      <c r="AC36" s="83">
        <v>1250000</v>
      </c>
      <c r="AD36" s="83">
        <v>4112000</v>
      </c>
      <c r="AE36" s="83">
        <v>3663000</v>
      </c>
      <c r="AF36" s="304">
        <v>9025000</v>
      </c>
      <c r="AG36" s="83">
        <v>1875000</v>
      </c>
      <c r="AH36" s="83">
        <v>0</v>
      </c>
      <c r="AI36" s="83">
        <v>0</v>
      </c>
      <c r="AJ36" s="83">
        <v>0</v>
      </c>
      <c r="AK36" s="304">
        <v>1875000</v>
      </c>
      <c r="AL36" s="83">
        <f>+'1.Input NG Expense'!AH20</f>
        <v>0</v>
      </c>
      <c r="AM36" s="83">
        <f>+'1.Input NG Expense'!AI20</f>
        <v>0</v>
      </c>
      <c r="AN36" s="83">
        <f>+'1.Input NG Expense'!AJ20</f>
        <v>0</v>
      </c>
      <c r="AO36" s="83">
        <f>+'1.Input NG Expense'!AK20</f>
        <v>0</v>
      </c>
      <c r="AP36" s="304">
        <f>SUM(AL36:AO36)</f>
        <v>0</v>
      </c>
    </row>
    <row r="37" spans="1:42" ht="16.649999999999999" customHeight="1" x14ac:dyDescent="0.25">
      <c r="A37" s="332" t="s">
        <v>453</v>
      </c>
      <c r="B37" s="297">
        <v>0</v>
      </c>
      <c r="C37" s="255">
        <v>0</v>
      </c>
      <c r="D37" s="255">
        <v>0</v>
      </c>
      <c r="E37" s="255">
        <v>0</v>
      </c>
      <c r="F37" s="255">
        <v>0</v>
      </c>
      <c r="G37" s="297">
        <v>0</v>
      </c>
      <c r="H37" s="255">
        <v>0</v>
      </c>
      <c r="I37" s="255">
        <v>0</v>
      </c>
      <c r="J37" s="255">
        <v>432000</v>
      </c>
      <c r="K37" s="255">
        <v>408000</v>
      </c>
      <c r="L37" s="297">
        <v>840000</v>
      </c>
      <c r="M37" s="255">
        <v>419000</v>
      </c>
      <c r="N37" s="255">
        <v>418000</v>
      </c>
      <c r="O37" s="255">
        <v>0</v>
      </c>
      <c r="P37" s="255">
        <v>0</v>
      </c>
      <c r="Q37" s="297">
        <v>837000</v>
      </c>
      <c r="R37" s="255">
        <v>0</v>
      </c>
      <c r="S37" s="255">
        <v>0</v>
      </c>
      <c r="T37" s="255">
        <v>0</v>
      </c>
      <c r="U37" s="255">
        <v>0</v>
      </c>
      <c r="V37" s="297">
        <v>0</v>
      </c>
      <c r="W37" s="255">
        <v>0</v>
      </c>
      <c r="X37" s="255">
        <v>0</v>
      </c>
      <c r="Y37" s="255">
        <v>0</v>
      </c>
      <c r="Z37" s="255">
        <v>0</v>
      </c>
      <c r="AA37" s="297">
        <v>0</v>
      </c>
      <c r="AB37" s="255">
        <v>0</v>
      </c>
      <c r="AC37" s="255">
        <v>0</v>
      </c>
      <c r="AD37" s="255">
        <v>0</v>
      </c>
      <c r="AF37" s="297">
        <v>0</v>
      </c>
      <c r="AG37" s="255">
        <v>0</v>
      </c>
      <c r="AH37" s="255">
        <v>0</v>
      </c>
      <c r="AI37" s="255">
        <v>0</v>
      </c>
      <c r="AJ37" s="255">
        <v>0</v>
      </c>
      <c r="AK37" s="297">
        <v>0</v>
      </c>
      <c r="AL37" s="255">
        <f>+'1.Input NG Expense'!AH18</f>
        <v>0</v>
      </c>
      <c r="AM37" s="255">
        <f>+'1.Input NG Expense'!AI18</f>
        <v>0</v>
      </c>
      <c r="AN37" s="255">
        <f>+'1.Input NG Expense'!AJ18</f>
        <v>0</v>
      </c>
      <c r="AO37" s="255">
        <f>+'1.Input NG Expense'!AK18</f>
        <v>0</v>
      </c>
      <c r="AP37" s="297">
        <f>SUM(AL37:AO37)</f>
        <v>0</v>
      </c>
    </row>
    <row r="38" spans="1:42" ht="16.649999999999999" customHeight="1" x14ac:dyDescent="0.3">
      <c r="A38" s="44" t="s">
        <v>462</v>
      </c>
      <c r="B38" s="333">
        <f t="shared" ref="B38:AP38" si="3">+B32-SUM(B35:B37)</f>
        <v>66788000</v>
      </c>
      <c r="C38" s="334">
        <f t="shared" si="3"/>
        <v>13852000</v>
      </c>
      <c r="D38" s="334">
        <f t="shared" si="3"/>
        <v>15137000</v>
      </c>
      <c r="E38" s="334">
        <f t="shared" si="3"/>
        <v>12525000</v>
      </c>
      <c r="F38" s="334">
        <f t="shared" si="3"/>
        <v>14662000</v>
      </c>
      <c r="G38" s="333">
        <f t="shared" si="3"/>
        <v>56176000</v>
      </c>
      <c r="H38" s="334">
        <f t="shared" si="3"/>
        <v>15301000</v>
      </c>
      <c r="I38" s="334">
        <f t="shared" si="3"/>
        <v>19768000</v>
      </c>
      <c r="J38" s="334">
        <f t="shared" si="3"/>
        <v>17071000</v>
      </c>
      <c r="K38" s="334">
        <f t="shared" si="3"/>
        <v>17963000</v>
      </c>
      <c r="L38" s="333">
        <f t="shared" si="3"/>
        <v>70103000</v>
      </c>
      <c r="M38" s="334">
        <f t="shared" si="3"/>
        <v>20395000</v>
      </c>
      <c r="N38" s="334">
        <f t="shared" si="3"/>
        <v>20654000</v>
      </c>
      <c r="O38" s="334">
        <f t="shared" si="3"/>
        <v>18972000</v>
      </c>
      <c r="P38" s="334">
        <f t="shared" si="3"/>
        <v>23653000</v>
      </c>
      <c r="Q38" s="333">
        <f t="shared" si="3"/>
        <v>83674000</v>
      </c>
      <c r="R38" s="334">
        <f t="shared" si="3"/>
        <v>17062000</v>
      </c>
      <c r="S38" s="334">
        <f t="shared" si="3"/>
        <v>17892000</v>
      </c>
      <c r="T38" s="334">
        <f t="shared" si="3"/>
        <v>17625000</v>
      </c>
      <c r="U38" s="334">
        <f t="shared" si="3"/>
        <v>20713000</v>
      </c>
      <c r="V38" s="333">
        <f t="shared" si="3"/>
        <v>73292000</v>
      </c>
      <c r="W38" s="334">
        <f t="shared" si="3"/>
        <v>18726000</v>
      </c>
      <c r="X38" s="334">
        <f t="shared" si="3"/>
        <v>18738000</v>
      </c>
      <c r="Y38" s="334">
        <f t="shared" si="3"/>
        <v>21642000</v>
      </c>
      <c r="Z38" s="334">
        <f t="shared" si="3"/>
        <v>23037000</v>
      </c>
      <c r="AA38" s="333">
        <f t="shared" si="3"/>
        <v>82143000</v>
      </c>
      <c r="AB38" s="334">
        <f t="shared" si="3"/>
        <v>21622000</v>
      </c>
      <c r="AC38" s="334">
        <f t="shared" si="3"/>
        <v>19944000</v>
      </c>
      <c r="AD38" s="334">
        <f t="shared" si="3"/>
        <v>20654000</v>
      </c>
      <c r="AE38" s="334">
        <f t="shared" si="3"/>
        <v>19459000</v>
      </c>
      <c r="AF38" s="333">
        <f t="shared" si="3"/>
        <v>81679000</v>
      </c>
      <c r="AG38" s="334">
        <f t="shared" si="3"/>
        <v>20939000</v>
      </c>
      <c r="AH38" s="334">
        <f t="shared" si="3"/>
        <v>20982000</v>
      </c>
      <c r="AI38" s="334">
        <f t="shared" si="3"/>
        <v>21610000</v>
      </c>
      <c r="AJ38" s="334">
        <f t="shared" si="3"/>
        <v>23146000</v>
      </c>
      <c r="AK38" s="333">
        <f t="shared" si="3"/>
        <v>86677000</v>
      </c>
      <c r="AL38" s="334">
        <f t="shared" si="3"/>
        <v>21870000</v>
      </c>
      <c r="AM38" s="334">
        <f t="shared" si="3"/>
        <v>22103000</v>
      </c>
      <c r="AN38" s="334">
        <f t="shared" si="3"/>
        <v>24052000</v>
      </c>
      <c r="AO38" s="334">
        <f t="shared" si="3"/>
        <v>0</v>
      </c>
      <c r="AP38" s="333">
        <f t="shared" si="3"/>
        <v>68025000</v>
      </c>
    </row>
    <row r="39" spans="1:42" ht="16.649999999999999" customHeight="1" x14ac:dyDescent="0.3">
      <c r="A39" s="311" t="s">
        <v>455</v>
      </c>
      <c r="B39" s="329">
        <v>0.38200000000000001</v>
      </c>
      <c r="C39" s="330">
        <v>0.29599999999999999</v>
      </c>
      <c r="D39" s="330">
        <v>0.28000000000000003</v>
      </c>
      <c r="E39" s="330">
        <v>0.21199999999999999</v>
      </c>
      <c r="F39" s="330">
        <v>0.24399999999999999</v>
      </c>
      <c r="G39" s="329">
        <v>0.255</v>
      </c>
      <c r="H39" s="330">
        <v>0.245</v>
      </c>
      <c r="I39" s="330">
        <v>0.30499999999999999</v>
      </c>
      <c r="J39" s="330">
        <v>0.21299999999999999</v>
      </c>
      <c r="K39" s="330">
        <v>0.22900000000000001</v>
      </c>
      <c r="L39" s="329">
        <v>0.245</v>
      </c>
      <c r="M39" s="330">
        <v>0.247</v>
      </c>
      <c r="N39" s="330">
        <v>0.22900000000000001</v>
      </c>
      <c r="O39" s="330">
        <v>0.186</v>
      </c>
      <c r="P39" s="330">
        <v>0.224</v>
      </c>
      <c r="Q39" s="329">
        <v>0.22</v>
      </c>
      <c r="R39" s="330">
        <v>0.17199999999999999</v>
      </c>
      <c r="S39" s="330">
        <v>0.17100000000000001</v>
      </c>
      <c r="T39" s="330">
        <v>0.14699999999999999</v>
      </c>
      <c r="U39" s="330">
        <v>0.17399999999999999</v>
      </c>
      <c r="V39" s="329">
        <v>0.16500000000000001</v>
      </c>
      <c r="W39" s="330">
        <v>0.157</v>
      </c>
      <c r="X39" s="330">
        <v>0.14699999999999999</v>
      </c>
      <c r="Y39" s="330">
        <v>0.154</v>
      </c>
      <c r="Z39" s="330">
        <v>0.16300000000000001</v>
      </c>
      <c r="AA39" s="329">
        <v>0.155</v>
      </c>
      <c r="AB39" s="330">
        <v>0.152</v>
      </c>
      <c r="AC39" s="330">
        <v>0.13600000000000001</v>
      </c>
      <c r="AD39" s="330">
        <v>0.13</v>
      </c>
      <c r="AE39" s="330">
        <v>0.13100000000000001</v>
      </c>
      <c r="AF39" s="329">
        <v>0.13700000000000001</v>
      </c>
      <c r="AG39" s="330">
        <v>0.13600000000000001</v>
      </c>
      <c r="AH39" s="330">
        <v>0.13100000000000001</v>
      </c>
      <c r="AI39" s="330">
        <v>0.124</v>
      </c>
      <c r="AJ39" s="330">
        <v>0.13500000000000001</v>
      </c>
      <c r="AK39" s="329">
        <v>0.13100000000000001</v>
      </c>
      <c r="AL39" s="330">
        <f>IFERROR(+AL38/AL7,0)</f>
        <v>0.1242889049277965</v>
      </c>
      <c r="AM39" s="330">
        <f>IFERROR(+AM38/AM7,0)</f>
        <v>0.11916455955532312</v>
      </c>
      <c r="AN39" s="330">
        <f>IFERROR(+AN38/AN7,0)</f>
        <v>0.12308353632325549</v>
      </c>
      <c r="AO39" s="330">
        <f>IFERROR(+AO38/AO7,0)</f>
        <v>0</v>
      </c>
      <c r="AP39" s="329">
        <f>IFERROR(+AP38/AP7,0)</f>
        <v>0.12215905009553636</v>
      </c>
    </row>
    <row r="40" spans="1:42" ht="15" customHeight="1" x14ac:dyDescent="0.25">
      <c r="B40" s="319"/>
      <c r="G40" s="319"/>
      <c r="L40" s="319"/>
      <c r="Q40" s="319"/>
      <c r="V40" s="319"/>
      <c r="AA40" s="319"/>
      <c r="AF40" s="319"/>
      <c r="AK40" s="319"/>
      <c r="AP40" s="319"/>
    </row>
    <row r="41" spans="1:42" ht="16.649999999999999" customHeight="1" x14ac:dyDescent="0.25">
      <c r="A41" s="66" t="s">
        <v>463</v>
      </c>
      <c r="B41" s="315">
        <v>-131412000</v>
      </c>
      <c r="C41" s="316">
        <v>-39819000</v>
      </c>
      <c r="D41" s="316">
        <v>-38133000</v>
      </c>
      <c r="E41" s="316">
        <v>-27689000</v>
      </c>
      <c r="F41" s="316">
        <v>-27883000</v>
      </c>
      <c r="G41" s="315">
        <v>-133524000</v>
      </c>
      <c r="H41" s="316">
        <v>-29602000</v>
      </c>
      <c r="I41" s="316">
        <v>-38199000</v>
      </c>
      <c r="J41" s="316">
        <v>-48211000</v>
      </c>
      <c r="K41" s="316">
        <v>-82134000</v>
      </c>
      <c r="L41" s="315">
        <v>-198146000</v>
      </c>
      <c r="M41" s="316">
        <v>-48375000</v>
      </c>
      <c r="N41" s="316">
        <v>-50273000</v>
      </c>
      <c r="O41" s="316">
        <v>-41485000</v>
      </c>
      <c r="P41" s="316">
        <v>-40789000</v>
      </c>
      <c r="Q41" s="315">
        <v>-180922000</v>
      </c>
      <c r="R41" s="316">
        <v>-26007000</v>
      </c>
      <c r="S41" s="316">
        <v>-26852000</v>
      </c>
      <c r="T41" s="316">
        <v>-15781000</v>
      </c>
      <c r="U41" s="316">
        <v>-51908000</v>
      </c>
      <c r="V41" s="315">
        <v>-120548000</v>
      </c>
      <c r="W41" s="316">
        <v>-17601000</v>
      </c>
      <c r="X41" s="316">
        <v>-6182000</v>
      </c>
      <c r="Y41" s="316">
        <v>-13786000</v>
      </c>
      <c r="Z41" s="316">
        <v>-27969000</v>
      </c>
      <c r="AA41" s="315">
        <v>-65538000</v>
      </c>
      <c r="AB41" s="316">
        <v>-25602000</v>
      </c>
      <c r="AC41" s="316">
        <v>-29122000</v>
      </c>
      <c r="AD41" s="316">
        <v>-23949000</v>
      </c>
      <c r="AE41" s="316">
        <v>-47127000</v>
      </c>
      <c r="AF41" s="315">
        <v>-125800000</v>
      </c>
      <c r="AG41" s="316">
        <v>2270000</v>
      </c>
      <c r="AH41" s="316">
        <v>8208000</v>
      </c>
      <c r="AI41" s="316">
        <v>15201000</v>
      </c>
      <c r="AJ41" s="316">
        <v>-14275000</v>
      </c>
      <c r="AK41" s="315">
        <v>11404000</v>
      </c>
      <c r="AL41" s="316">
        <f>+'1.Input IS Trend &amp; EPS'!AZ22</f>
        <v>-5248000</v>
      </c>
      <c r="AM41" s="316">
        <f>+'1.Input IS Trend &amp; EPS'!BA22</f>
        <v>7487000</v>
      </c>
      <c r="AN41" s="316">
        <f>+'1.Input IS Trend &amp; EPS'!BB22</f>
        <v>14673000</v>
      </c>
      <c r="AO41" s="316">
        <f>+'1.Input IS Trend &amp; EPS'!BC22</f>
        <v>0</v>
      </c>
      <c r="AP41" s="315">
        <f>SUM(AL41:AO41)</f>
        <v>16912000</v>
      </c>
    </row>
    <row r="42" spans="1:42" ht="16.649999999999999" customHeight="1" x14ac:dyDescent="0.3">
      <c r="A42" s="311" t="s">
        <v>450</v>
      </c>
      <c r="B42" s="329">
        <v>-0.752</v>
      </c>
      <c r="C42" s="330">
        <v>-0.85199999999999998</v>
      </c>
      <c r="D42" s="330">
        <v>-0.70599999999999996</v>
      </c>
      <c r="E42" s="330">
        <v>-0.46800000000000003</v>
      </c>
      <c r="F42" s="330">
        <v>-0.46300000000000002</v>
      </c>
      <c r="G42" s="329">
        <v>-0.60699999999999998</v>
      </c>
      <c r="H42" s="330">
        <v>-0.378</v>
      </c>
      <c r="I42" s="330">
        <v>-0.48799999999999999</v>
      </c>
      <c r="J42" s="330">
        <v>-0.61599999999999999</v>
      </c>
      <c r="K42" s="330">
        <v>-1.0489999999999999</v>
      </c>
      <c r="L42" s="329">
        <v>-0.69399999999999995</v>
      </c>
      <c r="M42" s="330">
        <v>-0.58599999999999997</v>
      </c>
      <c r="N42" s="330">
        <v>-0.55800000000000005</v>
      </c>
      <c r="O42" s="330">
        <v>-0.40600000000000003</v>
      </c>
      <c r="P42" s="330">
        <v>-0.38600000000000001</v>
      </c>
      <c r="Q42" s="329">
        <v>-0.47499999999999998</v>
      </c>
      <c r="R42" s="330">
        <v>-0.26200000000000001</v>
      </c>
      <c r="S42" s="330">
        <v>-0.25700000000000001</v>
      </c>
      <c r="T42" s="330">
        <v>-0.13200000000000001</v>
      </c>
      <c r="U42" s="330">
        <v>-0.436</v>
      </c>
      <c r="V42" s="329">
        <v>-0.27200000000000002</v>
      </c>
      <c r="W42" s="330">
        <v>-0.14799999999999999</v>
      </c>
      <c r="X42" s="330">
        <v>-4.9000000000000002E-2</v>
      </c>
      <c r="Y42" s="330">
        <v>-9.8000000000000004E-2</v>
      </c>
      <c r="Z42" s="330">
        <v>-0.19700000000000001</v>
      </c>
      <c r="AA42" s="329">
        <v>-0.124</v>
      </c>
      <c r="AB42" s="330">
        <v>-0.18</v>
      </c>
      <c r="AC42" s="330">
        <v>-0.19800000000000001</v>
      </c>
      <c r="AD42" s="330">
        <v>-0.151</v>
      </c>
      <c r="AE42" s="330">
        <v>-0.317</v>
      </c>
      <c r="AF42" s="329">
        <v>-0.21099999999999999</v>
      </c>
      <c r="AG42" s="330">
        <v>1.4999999999999999E-2</v>
      </c>
      <c r="AH42" s="330">
        <v>5.0999999999999997E-2</v>
      </c>
      <c r="AI42" s="330">
        <v>8.6999999999999994E-2</v>
      </c>
      <c r="AJ42" s="330">
        <v>-8.3000000000000004E-2</v>
      </c>
      <c r="AK42" s="329">
        <v>1.7000000000000001E-2</v>
      </c>
      <c r="AL42" s="330">
        <f>IFERROR(+AL41/AL7,0)</f>
        <v>-2.9824790720671058E-2</v>
      </c>
      <c r="AM42" s="330">
        <f>IFERROR(+AM41/AM7,0)</f>
        <v>4.0364885191634815E-2</v>
      </c>
      <c r="AN42" s="330">
        <f>IFERROR(+AN41/AN7,0)</f>
        <v>7.5087507420219843E-2</v>
      </c>
      <c r="AO42" s="330">
        <f>IFERROR(+AO41/AO7,0)</f>
        <v>0</v>
      </c>
      <c r="AP42" s="329">
        <f>IFERROR(+AP41/AP7,0)</f>
        <v>3.0370508713204132E-2</v>
      </c>
    </row>
    <row r="43" spans="1:42" ht="16.649999999999999" customHeight="1" x14ac:dyDescent="0.25">
      <c r="A43" s="81" t="s">
        <v>273</v>
      </c>
      <c r="B43" s="319"/>
      <c r="G43" s="319"/>
      <c r="L43" s="319"/>
      <c r="Q43" s="319"/>
      <c r="V43" s="319"/>
      <c r="AA43" s="319"/>
      <c r="AF43" s="319"/>
      <c r="AK43" s="319"/>
      <c r="AP43" s="319"/>
    </row>
    <row r="44" spans="1:42" ht="30.5" customHeight="1" x14ac:dyDescent="0.25">
      <c r="A44" s="331" t="s">
        <v>451</v>
      </c>
      <c r="B44" s="304">
        <v>18618000</v>
      </c>
      <c r="C44" s="83">
        <v>5959000</v>
      </c>
      <c r="D44" s="83">
        <v>6015000</v>
      </c>
      <c r="E44" s="83">
        <v>5965000</v>
      </c>
      <c r="F44" s="83">
        <v>5956000</v>
      </c>
      <c r="G44" s="304">
        <v>23895000</v>
      </c>
      <c r="H44" s="83">
        <v>5970000</v>
      </c>
      <c r="I44" s="83">
        <v>3548000</v>
      </c>
      <c r="J44" s="83">
        <v>3359000</v>
      </c>
      <c r="K44" s="83">
        <v>2981000</v>
      </c>
      <c r="L44" s="304">
        <v>15858000</v>
      </c>
      <c r="M44" s="83">
        <v>3123000</v>
      </c>
      <c r="N44" s="83">
        <v>5369000</v>
      </c>
      <c r="O44" s="83">
        <v>5369000</v>
      </c>
      <c r="P44" s="83">
        <v>5181000</v>
      </c>
      <c r="Q44" s="304">
        <v>19042000</v>
      </c>
      <c r="R44" s="83">
        <v>5306000</v>
      </c>
      <c r="S44" s="83">
        <v>4350000</v>
      </c>
      <c r="T44" s="83">
        <v>4213000</v>
      </c>
      <c r="U44" s="83">
        <v>4177000</v>
      </c>
      <c r="V44" s="304">
        <v>18046000</v>
      </c>
      <c r="W44" s="83">
        <v>4645000</v>
      </c>
      <c r="X44" s="83">
        <v>4612000</v>
      </c>
      <c r="Y44" s="83">
        <v>4647000</v>
      </c>
      <c r="Z44" s="83">
        <v>4807000</v>
      </c>
      <c r="AA44" s="304">
        <v>18711000</v>
      </c>
      <c r="AB44" s="83">
        <v>4643000</v>
      </c>
      <c r="AC44" s="83">
        <v>4637000</v>
      </c>
      <c r="AD44" s="83">
        <v>4209000</v>
      </c>
      <c r="AE44" s="83">
        <v>3336000</v>
      </c>
      <c r="AF44" s="304">
        <v>16825000</v>
      </c>
      <c r="AG44" s="83">
        <v>3290000</v>
      </c>
      <c r="AH44" s="83">
        <v>1217000</v>
      </c>
      <c r="AI44" s="83">
        <v>1181000</v>
      </c>
      <c r="AJ44" s="83">
        <v>3097000</v>
      </c>
      <c r="AK44" s="304">
        <v>8785000</v>
      </c>
      <c r="AL44" s="83">
        <f>+'1.Input NG EPS trend'!Z22</f>
        <v>3846000</v>
      </c>
      <c r="AM44" s="83">
        <f>+'1.Input NG EPS trend'!AA22</f>
        <v>3748000</v>
      </c>
      <c r="AN44" s="83">
        <f>+'1.Input NG EPS trend'!AB22</f>
        <v>3686000</v>
      </c>
      <c r="AO44" s="83">
        <f>+'1.Input NG EPS trend'!AC22</f>
        <v>0</v>
      </c>
      <c r="AP44" s="304">
        <f>SUM(AL44:AO44)</f>
        <v>11280000</v>
      </c>
    </row>
    <row r="45" spans="1:42" ht="16.649999999999999" customHeight="1" x14ac:dyDescent="0.25">
      <c r="A45" s="331" t="s">
        <v>452</v>
      </c>
      <c r="B45" s="304">
        <v>39795000</v>
      </c>
      <c r="C45" s="83">
        <v>12400000</v>
      </c>
      <c r="D45" s="83">
        <v>13154000</v>
      </c>
      <c r="E45" s="83">
        <v>13290000</v>
      </c>
      <c r="F45" s="83">
        <v>14022000</v>
      </c>
      <c r="G45" s="304">
        <v>52866000</v>
      </c>
      <c r="H45" s="83">
        <v>17798000</v>
      </c>
      <c r="I45" s="83">
        <v>17667000</v>
      </c>
      <c r="J45" s="83">
        <v>26082000</v>
      </c>
      <c r="K45" s="83">
        <v>41175000</v>
      </c>
      <c r="L45" s="304">
        <v>102722000</v>
      </c>
      <c r="M45" s="83">
        <v>18630000</v>
      </c>
      <c r="N45" s="83">
        <v>23354000</v>
      </c>
      <c r="O45" s="83">
        <v>30295000</v>
      </c>
      <c r="P45" s="83">
        <v>17168000</v>
      </c>
      <c r="Q45" s="304">
        <v>89447000</v>
      </c>
      <c r="R45" s="83">
        <v>16485000</v>
      </c>
      <c r="S45" s="83">
        <v>24204000</v>
      </c>
      <c r="T45" s="83">
        <v>23894000</v>
      </c>
      <c r="U45" s="83">
        <v>47124000</v>
      </c>
      <c r="V45" s="304">
        <v>111707000</v>
      </c>
      <c r="W45" s="83">
        <v>18496000</v>
      </c>
      <c r="X45" s="83">
        <v>19221000</v>
      </c>
      <c r="Y45" s="83">
        <v>23758000</v>
      </c>
      <c r="Z45" s="83">
        <v>25782000</v>
      </c>
      <c r="AA45" s="304">
        <v>87257000</v>
      </c>
      <c r="AB45" s="83">
        <v>24225000</v>
      </c>
      <c r="AC45" s="83">
        <v>27293000</v>
      </c>
      <c r="AD45" s="83">
        <v>29624000</v>
      </c>
      <c r="AE45" s="83">
        <v>44658000</v>
      </c>
      <c r="AF45" s="304">
        <v>125800000</v>
      </c>
      <c r="AG45" s="83">
        <v>13292000</v>
      </c>
      <c r="AH45" s="83">
        <v>15735000</v>
      </c>
      <c r="AI45" s="83">
        <v>17497000</v>
      </c>
      <c r="AJ45" s="83">
        <v>24780000</v>
      </c>
      <c r="AK45" s="304">
        <v>71304000</v>
      </c>
      <c r="AL45" s="83">
        <f>+'1.Input NG EPS trend'!Z23</f>
        <v>27985000</v>
      </c>
      <c r="AM45" s="83">
        <f>+'1.Input NG EPS trend'!AA23</f>
        <v>29068000</v>
      </c>
      <c r="AN45" s="83">
        <f>+'1.Input NG EPS trend'!AB23</f>
        <v>26760000</v>
      </c>
      <c r="AO45" s="83">
        <f>+'1.Input NG EPS trend'!AC23</f>
        <v>0</v>
      </c>
      <c r="AP45" s="304">
        <f>SUM(AL45:AO45)</f>
        <v>83813000</v>
      </c>
    </row>
    <row r="46" spans="1:42" ht="16.649999999999999" customHeight="1" x14ac:dyDescent="0.25">
      <c r="A46" s="331" t="s">
        <v>464</v>
      </c>
      <c r="B46" s="304">
        <v>4672000</v>
      </c>
      <c r="C46" s="83">
        <v>-3000</v>
      </c>
      <c r="D46" s="83">
        <v>2833000</v>
      </c>
      <c r="E46" s="83">
        <v>-788000</v>
      </c>
      <c r="F46" s="83">
        <v>681000</v>
      </c>
      <c r="G46" s="304">
        <v>2723000</v>
      </c>
      <c r="H46" s="83">
        <v>1000</v>
      </c>
      <c r="I46" s="83">
        <v>489000</v>
      </c>
      <c r="J46" s="83">
        <v>5043000</v>
      </c>
      <c r="K46" s="83">
        <v>14400000</v>
      </c>
      <c r="L46" s="304">
        <v>19933000</v>
      </c>
      <c r="M46" s="83">
        <v>2276000</v>
      </c>
      <c r="N46" s="83">
        <v>45000</v>
      </c>
      <c r="O46" s="83">
        <v>233000</v>
      </c>
      <c r="P46" s="83">
        <v>2447000</v>
      </c>
      <c r="Q46" s="304">
        <v>5001000</v>
      </c>
      <c r="R46" s="83">
        <v>1995000</v>
      </c>
      <c r="S46" s="83">
        <v>-619000</v>
      </c>
      <c r="T46" s="83">
        <v>-6000</v>
      </c>
      <c r="U46" s="83">
        <v>1345000</v>
      </c>
      <c r="V46" s="304">
        <v>2715000</v>
      </c>
      <c r="W46" s="83">
        <v>1278000</v>
      </c>
      <c r="X46" s="83">
        <v>18000</v>
      </c>
      <c r="Y46" s="83">
        <v>0</v>
      </c>
      <c r="Z46" s="83">
        <v>183000</v>
      </c>
      <c r="AA46" s="304">
        <v>1479000</v>
      </c>
      <c r="AB46" s="83">
        <v>739000</v>
      </c>
      <c r="AC46" s="83">
        <v>13111000</v>
      </c>
      <c r="AD46" s="83">
        <v>11743000</v>
      </c>
      <c r="AE46" s="83">
        <v>9723000</v>
      </c>
      <c r="AF46" s="304">
        <v>35316000</v>
      </c>
      <c r="AG46" s="83">
        <v>116000</v>
      </c>
      <c r="AH46" s="83">
        <v>6574000</v>
      </c>
      <c r="AI46" s="83">
        <v>2502000</v>
      </c>
      <c r="AJ46" s="83">
        <v>2516000</v>
      </c>
      <c r="AK46" s="304">
        <v>11708000</v>
      </c>
      <c r="AL46" s="83">
        <f>+'1.Input NG EPS trend'!Z25</f>
        <v>206000</v>
      </c>
      <c r="AM46" s="83">
        <f>+'1.Input NG EPS trend'!AA25</f>
        <v>397000</v>
      </c>
      <c r="AN46" s="83">
        <f>+'1.Input NG EPS trend'!AB25</f>
        <v>149000</v>
      </c>
      <c r="AO46" s="83">
        <f>+'1.Input NG EPS trend'!AC25</f>
        <v>0</v>
      </c>
      <c r="AP46" s="304">
        <f>SUM(AL46:AO46)</f>
        <v>752000</v>
      </c>
    </row>
    <row r="47" spans="1:42" ht="16.649999999999999" customHeight="1" x14ac:dyDescent="0.25">
      <c r="A47" s="331" t="s">
        <v>461</v>
      </c>
      <c r="B47" s="304">
        <v>8639000</v>
      </c>
      <c r="C47" s="83">
        <v>7119000</v>
      </c>
      <c r="D47" s="83">
        <v>5453000</v>
      </c>
      <c r="E47" s="83">
        <v>5214000</v>
      </c>
      <c r="F47" s="83">
        <v>0</v>
      </c>
      <c r="G47" s="304">
        <v>17786000</v>
      </c>
      <c r="H47" s="83">
        <v>0</v>
      </c>
      <c r="I47" s="83">
        <v>2122000</v>
      </c>
      <c r="J47" s="83">
        <v>700000</v>
      </c>
      <c r="K47" s="83">
        <v>-705000</v>
      </c>
      <c r="L47" s="304">
        <v>2117000</v>
      </c>
      <c r="M47" s="83">
        <v>0</v>
      </c>
      <c r="N47" s="83">
        <v>0</v>
      </c>
      <c r="O47" s="83">
        <v>0</v>
      </c>
      <c r="P47" s="83">
        <v>0</v>
      </c>
      <c r="Q47" s="304">
        <v>0</v>
      </c>
      <c r="R47" s="83">
        <v>3605000</v>
      </c>
      <c r="S47" s="83">
        <v>258000</v>
      </c>
      <c r="T47" s="83">
        <v>0</v>
      </c>
      <c r="U47" s="83">
        <v>0</v>
      </c>
      <c r="V47" s="304">
        <v>3863000</v>
      </c>
      <c r="W47" s="83">
        <v>0</v>
      </c>
      <c r="X47" s="83">
        <v>0</v>
      </c>
      <c r="Y47" s="83">
        <v>0</v>
      </c>
      <c r="Z47" s="83">
        <v>0</v>
      </c>
      <c r="AA47" s="304">
        <v>0</v>
      </c>
      <c r="AB47" s="83">
        <v>0</v>
      </c>
      <c r="AC47" s="83">
        <v>1250000</v>
      </c>
      <c r="AD47" s="83">
        <v>4112000</v>
      </c>
      <c r="AE47" s="83">
        <v>3663000</v>
      </c>
      <c r="AF47" s="304">
        <v>9025000</v>
      </c>
      <c r="AG47" s="83">
        <v>1875000</v>
      </c>
      <c r="AH47" s="83">
        <v>0</v>
      </c>
      <c r="AI47" s="83">
        <v>0</v>
      </c>
      <c r="AJ47" s="83">
        <v>0</v>
      </c>
      <c r="AK47" s="304">
        <v>1875000</v>
      </c>
      <c r="AL47" s="83">
        <f>+'1.Input NG EPS trend'!Z26</f>
        <v>0</v>
      </c>
      <c r="AM47" s="83">
        <f>+'1.Input NG EPS trend'!AA26</f>
        <v>0</v>
      </c>
      <c r="AN47" s="83">
        <f>+'1.Input NG EPS trend'!AB26</f>
        <v>0</v>
      </c>
      <c r="AO47" s="83">
        <f>+'1.Input NG EPS trend'!AC26</f>
        <v>0</v>
      </c>
      <c r="AP47" s="304">
        <f>SUM(AL47:AO47)</f>
        <v>0</v>
      </c>
    </row>
    <row r="48" spans="1:42" ht="16.649999999999999" customHeight="1" x14ac:dyDescent="0.25">
      <c r="A48" s="332" t="s">
        <v>453</v>
      </c>
      <c r="B48" s="297">
        <v>0</v>
      </c>
      <c r="C48" s="255">
        <v>0</v>
      </c>
      <c r="D48" s="255">
        <v>0</v>
      </c>
      <c r="E48" s="255">
        <v>0</v>
      </c>
      <c r="F48" s="255">
        <v>0</v>
      </c>
      <c r="G48" s="297">
        <v>0</v>
      </c>
      <c r="H48" s="255">
        <v>0</v>
      </c>
      <c r="I48" s="255">
        <v>0</v>
      </c>
      <c r="J48" s="255">
        <v>1959000</v>
      </c>
      <c r="K48" s="255">
        <v>1853000</v>
      </c>
      <c r="L48" s="297">
        <v>3812000</v>
      </c>
      <c r="M48" s="255">
        <v>1906000</v>
      </c>
      <c r="N48" s="255">
        <v>1663000</v>
      </c>
      <c r="O48" s="255">
        <v>0</v>
      </c>
      <c r="P48" s="255">
        <v>0</v>
      </c>
      <c r="Q48" s="297">
        <v>3569000</v>
      </c>
      <c r="R48" s="255">
        <v>0</v>
      </c>
      <c r="S48" s="255">
        <v>0</v>
      </c>
      <c r="T48" s="255">
        <v>0</v>
      </c>
      <c r="U48" s="255">
        <v>0</v>
      </c>
      <c r="V48" s="297">
        <v>0</v>
      </c>
      <c r="W48" s="255">
        <v>0</v>
      </c>
      <c r="X48" s="255">
        <v>0</v>
      </c>
      <c r="Y48" s="255">
        <v>0</v>
      </c>
      <c r="Z48" s="255">
        <v>0</v>
      </c>
      <c r="AA48" s="297">
        <v>0</v>
      </c>
      <c r="AB48" s="255">
        <v>0</v>
      </c>
      <c r="AC48" s="255">
        <v>0</v>
      </c>
      <c r="AD48" s="255">
        <v>0</v>
      </c>
      <c r="AE48" s="255">
        <v>0</v>
      </c>
      <c r="AF48" s="297">
        <v>0</v>
      </c>
      <c r="AG48" s="255">
        <v>0</v>
      </c>
      <c r="AH48" s="255">
        <v>0</v>
      </c>
      <c r="AI48" s="255">
        <v>0</v>
      </c>
      <c r="AJ48" s="255">
        <v>0</v>
      </c>
      <c r="AK48" s="297">
        <v>0</v>
      </c>
      <c r="AL48" s="255">
        <f>+'1.Input NG EPS trend'!Z24</f>
        <v>0</v>
      </c>
      <c r="AM48" s="255">
        <f>+'1.Input NG EPS trend'!AA24</f>
        <v>0</v>
      </c>
      <c r="AN48" s="255">
        <f>+'1.Input NG EPS trend'!AB24</f>
        <v>0</v>
      </c>
      <c r="AO48" s="255">
        <f>+'1.Input NG EPS trend'!AC24</f>
        <v>0</v>
      </c>
      <c r="AP48" s="297">
        <f>SUM(AL48:AO48)</f>
        <v>0</v>
      </c>
    </row>
    <row r="49" spans="1:42" ht="27.5" customHeight="1" x14ac:dyDescent="0.3">
      <c r="A49" s="44" t="s">
        <v>465</v>
      </c>
      <c r="B49" s="333">
        <f t="shared" ref="B49:AP49" si="4">+B41+SUM(B44:B48)</f>
        <v>-59688000</v>
      </c>
      <c r="C49" s="334">
        <f t="shared" si="4"/>
        <v>-14344000</v>
      </c>
      <c r="D49" s="334">
        <f t="shared" si="4"/>
        <v>-10678000</v>
      </c>
      <c r="E49" s="334">
        <f t="shared" si="4"/>
        <v>-4008000</v>
      </c>
      <c r="F49" s="334">
        <f t="shared" si="4"/>
        <v>-7224000</v>
      </c>
      <c r="G49" s="333">
        <f t="shared" si="4"/>
        <v>-36254000</v>
      </c>
      <c r="H49" s="334">
        <f t="shared" si="4"/>
        <v>-5833000</v>
      </c>
      <c r="I49" s="334">
        <f t="shared" si="4"/>
        <v>-14373000</v>
      </c>
      <c r="J49" s="334">
        <f t="shared" si="4"/>
        <v>-11068000</v>
      </c>
      <c r="K49" s="334">
        <f t="shared" si="4"/>
        <v>-22430000</v>
      </c>
      <c r="L49" s="333">
        <f t="shared" si="4"/>
        <v>-53704000</v>
      </c>
      <c r="M49" s="334">
        <f t="shared" si="4"/>
        <v>-22440000</v>
      </c>
      <c r="N49" s="334">
        <f t="shared" si="4"/>
        <v>-19842000</v>
      </c>
      <c r="O49" s="334">
        <f t="shared" si="4"/>
        <v>-5588000</v>
      </c>
      <c r="P49" s="334">
        <f t="shared" si="4"/>
        <v>-15993000</v>
      </c>
      <c r="Q49" s="333">
        <f t="shared" si="4"/>
        <v>-63863000</v>
      </c>
      <c r="R49" s="334">
        <f t="shared" si="4"/>
        <v>1384000</v>
      </c>
      <c r="S49" s="334">
        <f t="shared" si="4"/>
        <v>1341000</v>
      </c>
      <c r="T49" s="334">
        <f t="shared" si="4"/>
        <v>12320000</v>
      </c>
      <c r="U49" s="334">
        <f t="shared" si="4"/>
        <v>738000</v>
      </c>
      <c r="V49" s="333">
        <f t="shared" si="4"/>
        <v>15783000</v>
      </c>
      <c r="W49" s="334">
        <f t="shared" si="4"/>
        <v>6818000</v>
      </c>
      <c r="X49" s="334">
        <f t="shared" si="4"/>
        <v>17669000</v>
      </c>
      <c r="Y49" s="334">
        <f t="shared" si="4"/>
        <v>14619000</v>
      </c>
      <c r="Z49" s="334">
        <f t="shared" si="4"/>
        <v>2803000</v>
      </c>
      <c r="AA49" s="333">
        <f t="shared" si="4"/>
        <v>41909000</v>
      </c>
      <c r="AB49" s="334">
        <f t="shared" si="4"/>
        <v>4005000</v>
      </c>
      <c r="AC49" s="334">
        <f t="shared" si="4"/>
        <v>17169000</v>
      </c>
      <c r="AD49" s="334">
        <f t="shared" si="4"/>
        <v>25739000</v>
      </c>
      <c r="AE49" s="334">
        <f t="shared" si="4"/>
        <v>14253000</v>
      </c>
      <c r="AF49" s="333">
        <f t="shared" si="4"/>
        <v>61166000</v>
      </c>
      <c r="AG49" s="334">
        <f t="shared" si="4"/>
        <v>20843000</v>
      </c>
      <c r="AH49" s="334">
        <f t="shared" si="4"/>
        <v>31734000</v>
      </c>
      <c r="AI49" s="334">
        <f t="shared" si="4"/>
        <v>36381000</v>
      </c>
      <c r="AJ49" s="334">
        <f t="shared" si="4"/>
        <v>16118000</v>
      </c>
      <c r="AK49" s="333">
        <f t="shared" si="4"/>
        <v>105076000</v>
      </c>
      <c r="AL49" s="334">
        <f t="shared" si="4"/>
        <v>26789000</v>
      </c>
      <c r="AM49" s="334">
        <f t="shared" si="4"/>
        <v>40700000</v>
      </c>
      <c r="AN49" s="334">
        <f t="shared" si="4"/>
        <v>45268000</v>
      </c>
      <c r="AO49" s="334">
        <f t="shared" si="4"/>
        <v>0</v>
      </c>
      <c r="AP49" s="333">
        <f t="shared" si="4"/>
        <v>112757000</v>
      </c>
    </row>
    <row r="50" spans="1:42" ht="16.649999999999999" customHeight="1" x14ac:dyDescent="0.3">
      <c r="A50" s="311" t="s">
        <v>450</v>
      </c>
      <c r="B50" s="329">
        <v>-0.34200000000000003</v>
      </c>
      <c r="C50" s="330">
        <v>-0.307</v>
      </c>
      <c r="D50" s="330">
        <v>-0.19800000000000001</v>
      </c>
      <c r="E50" s="330">
        <v>-6.8000000000000005E-2</v>
      </c>
      <c r="F50" s="330">
        <v>-0.12</v>
      </c>
      <c r="G50" s="329">
        <v>-0.16500000000000001</v>
      </c>
      <c r="H50" s="330">
        <v>-9.2999999999999999E-2</v>
      </c>
      <c r="I50" s="330">
        <v>-0.222</v>
      </c>
      <c r="J50" s="330">
        <v>-0.13800000000000001</v>
      </c>
      <c r="K50" s="330">
        <v>-0.28599999999999998</v>
      </c>
      <c r="L50" s="329">
        <v>-0.188</v>
      </c>
      <c r="M50" s="330">
        <v>-0.27200000000000002</v>
      </c>
      <c r="N50" s="330">
        <v>-0.22</v>
      </c>
      <c r="O50" s="330">
        <v>-5.5E-2</v>
      </c>
      <c r="P50" s="330">
        <v>-0.151</v>
      </c>
      <c r="Q50" s="329">
        <v>-0.16800000000000001</v>
      </c>
      <c r="R50" s="330">
        <v>1.4E-2</v>
      </c>
      <c r="S50" s="330">
        <v>1.2999999999999999E-2</v>
      </c>
      <c r="T50" s="330">
        <v>0.10299999999999999</v>
      </c>
      <c r="U50" s="330">
        <v>6.0000000000000001E-3</v>
      </c>
      <c r="V50" s="329">
        <v>3.5999999999999997E-2</v>
      </c>
      <c r="W50" s="330">
        <v>5.7000000000000002E-2</v>
      </c>
      <c r="X50" s="330">
        <v>0.13900000000000001</v>
      </c>
      <c r="Y50" s="330">
        <v>0.104</v>
      </c>
      <c r="Z50" s="330">
        <v>0.02</v>
      </c>
      <c r="AA50" s="329">
        <v>7.9000000000000001E-2</v>
      </c>
      <c r="AB50" s="330">
        <v>2.8000000000000001E-2</v>
      </c>
      <c r="AC50" s="330">
        <v>0.11700000000000001</v>
      </c>
      <c r="AD50" s="330">
        <v>0.16200000000000001</v>
      </c>
      <c r="AE50" s="330">
        <v>9.6000000000000002E-2</v>
      </c>
      <c r="AF50" s="329">
        <v>0.10299999999999999</v>
      </c>
      <c r="AG50" s="330">
        <v>0.13500000000000001</v>
      </c>
      <c r="AH50" s="330">
        <v>0.19800000000000001</v>
      </c>
      <c r="AI50" s="330">
        <v>0.20899999999999999</v>
      </c>
      <c r="AJ50" s="330">
        <v>9.4E-2</v>
      </c>
      <c r="AK50" s="329">
        <v>0.159</v>
      </c>
      <c r="AL50" s="330">
        <f>IFERROR(+AL49/AL7,0)</f>
        <v>0.15224396315092548</v>
      </c>
      <c r="AM50" s="330">
        <f>IFERROR(+AM49/AM7,0)</f>
        <v>0.21942711730994216</v>
      </c>
      <c r="AN50" s="330">
        <f>IFERROR(+AN49/AN7,0)</f>
        <v>0.23165414611180479</v>
      </c>
      <c r="AO50" s="330">
        <f>IFERROR(+AO49/AO7,0)</f>
        <v>0</v>
      </c>
      <c r="AP50" s="329">
        <f>IFERROR(+AP49/AP7,0)</f>
        <v>0.20248861465082535</v>
      </c>
    </row>
    <row r="51" spans="1:42" ht="15" customHeight="1" x14ac:dyDescent="0.25">
      <c r="B51" s="319"/>
      <c r="G51" s="319"/>
      <c r="L51" s="319"/>
      <c r="Q51" s="319"/>
      <c r="V51" s="319"/>
      <c r="AA51" s="319"/>
      <c r="AF51" s="319"/>
      <c r="AK51" s="319"/>
      <c r="AP51" s="319"/>
    </row>
    <row r="52" spans="1:42" ht="27.5" customHeight="1" x14ac:dyDescent="0.3">
      <c r="A52" s="2" t="s">
        <v>466</v>
      </c>
      <c r="B52" s="327">
        <v>-130760000</v>
      </c>
      <c r="C52" s="328">
        <v>-40399000</v>
      </c>
      <c r="D52" s="328">
        <v>-37870000</v>
      </c>
      <c r="E52" s="328">
        <v>-27257000</v>
      </c>
      <c r="F52" s="328">
        <v>-27496000</v>
      </c>
      <c r="G52" s="327">
        <v>-133022000</v>
      </c>
      <c r="H52" s="328">
        <v>-29246000</v>
      </c>
      <c r="I52" s="328">
        <v>-38480000</v>
      </c>
      <c r="J52" s="328">
        <v>-37807000</v>
      </c>
      <c r="K52" s="328">
        <v>-73823000</v>
      </c>
      <c r="L52" s="327">
        <v>-179356000</v>
      </c>
      <c r="M52" s="328">
        <v>-42493000</v>
      </c>
      <c r="N52" s="328">
        <v>-45493000</v>
      </c>
      <c r="O52" s="328">
        <v>-38327000</v>
      </c>
      <c r="P52" s="328">
        <v>-39224000</v>
      </c>
      <c r="Q52" s="327">
        <v>-165537000</v>
      </c>
      <c r="R52" s="328">
        <v>-25544000</v>
      </c>
      <c r="S52" s="328">
        <v>-27077000</v>
      </c>
      <c r="T52" s="328">
        <v>-15867000</v>
      </c>
      <c r="U52" s="328">
        <v>-52312000</v>
      </c>
      <c r="V52" s="327">
        <v>-120800000</v>
      </c>
      <c r="W52" s="328">
        <v>13000000</v>
      </c>
      <c r="X52" s="328">
        <v>-6032000</v>
      </c>
      <c r="Y52" s="328">
        <v>-14027000</v>
      </c>
      <c r="Z52" s="328">
        <v>-28016000</v>
      </c>
      <c r="AA52" s="327">
        <v>-35075000</v>
      </c>
      <c r="AB52" s="328">
        <v>-24903000</v>
      </c>
      <c r="AC52" s="328">
        <v>-26874000</v>
      </c>
      <c r="AD52" s="328">
        <v>-24685000</v>
      </c>
      <c r="AE52" s="328">
        <v>-42392000</v>
      </c>
      <c r="AF52" s="327">
        <v>-118854000</v>
      </c>
      <c r="AG52" s="328">
        <v>7119000</v>
      </c>
      <c r="AH52" s="328">
        <v>14639000</v>
      </c>
      <c r="AI52" s="328">
        <v>21808000</v>
      </c>
      <c r="AJ52" s="328">
        <v>-9205000</v>
      </c>
      <c r="AK52" s="327">
        <v>34361000</v>
      </c>
      <c r="AL52" s="328">
        <f>+'1.Input IS Trend &amp; EPS'!AZ28</f>
        <v>-804000</v>
      </c>
      <c r="AM52" s="328">
        <f>+'1.Input IS Trend &amp; EPS'!BA28</f>
        <v>11684000</v>
      </c>
      <c r="AN52" s="328">
        <f>+'1.Input IS Trend &amp; EPS'!BB28</f>
        <v>18706000</v>
      </c>
      <c r="AO52" s="328">
        <f>+'1.Input IS Trend &amp; EPS'!BC28</f>
        <v>0</v>
      </c>
      <c r="AP52" s="327">
        <f>SUM(AL52:AO52)</f>
        <v>29586000</v>
      </c>
    </row>
    <row r="53" spans="1:42" ht="16.649999999999999" customHeight="1" x14ac:dyDescent="0.25">
      <c r="A53" s="76" t="s">
        <v>273</v>
      </c>
      <c r="B53" s="319"/>
      <c r="G53" s="319"/>
      <c r="L53" s="319"/>
      <c r="Q53" s="319"/>
      <c r="V53" s="319"/>
      <c r="AA53" s="319"/>
      <c r="AF53" s="319"/>
      <c r="AK53" s="319"/>
      <c r="AP53" s="319"/>
    </row>
    <row r="54" spans="1:42" ht="31.5" customHeight="1" x14ac:dyDescent="0.25">
      <c r="A54" s="331" t="s">
        <v>451</v>
      </c>
      <c r="B54" s="304">
        <v>18618000</v>
      </c>
      <c r="C54" s="83">
        <v>5959000</v>
      </c>
      <c r="D54" s="83">
        <v>6015000</v>
      </c>
      <c r="E54" s="83">
        <v>5965000</v>
      </c>
      <c r="F54" s="83">
        <v>5956000</v>
      </c>
      <c r="G54" s="304">
        <v>23895000</v>
      </c>
      <c r="H54" s="83">
        <v>5970000</v>
      </c>
      <c r="I54" s="83">
        <v>3548000</v>
      </c>
      <c r="J54" s="83">
        <v>3359000</v>
      </c>
      <c r="K54" s="83">
        <v>2981000</v>
      </c>
      <c r="L54" s="304">
        <v>15858000</v>
      </c>
      <c r="M54" s="83">
        <v>3123000</v>
      </c>
      <c r="N54" s="83">
        <v>5369000</v>
      </c>
      <c r="O54" s="83">
        <v>5369000</v>
      </c>
      <c r="P54" s="83">
        <v>5181000</v>
      </c>
      <c r="Q54" s="304">
        <v>19042000</v>
      </c>
      <c r="R54" s="83">
        <v>5306000</v>
      </c>
      <c r="S54" s="83">
        <v>4350000</v>
      </c>
      <c r="T54" s="83">
        <v>4213000</v>
      </c>
      <c r="U54" s="83">
        <v>4177000</v>
      </c>
      <c r="V54" s="304">
        <v>18046000</v>
      </c>
      <c r="W54" s="83">
        <v>4645000</v>
      </c>
      <c r="X54" s="83">
        <v>4612000</v>
      </c>
      <c r="Y54" s="83">
        <v>4647000</v>
      </c>
      <c r="Z54" s="83">
        <v>4807000</v>
      </c>
      <c r="AA54" s="304">
        <v>18711000</v>
      </c>
      <c r="AB54" s="83">
        <v>4643000</v>
      </c>
      <c r="AC54" s="83">
        <v>4637000</v>
      </c>
      <c r="AD54" s="83">
        <v>4209000</v>
      </c>
      <c r="AE54" s="83">
        <v>3336000</v>
      </c>
      <c r="AF54" s="304">
        <v>16825000</v>
      </c>
      <c r="AG54" s="83">
        <v>3290000</v>
      </c>
      <c r="AH54" s="83">
        <v>1217000</v>
      </c>
      <c r="AI54" s="83">
        <v>1181000</v>
      </c>
      <c r="AJ54" s="83">
        <v>3097000</v>
      </c>
      <c r="AK54" s="304">
        <v>8785000</v>
      </c>
      <c r="AL54" s="83">
        <f>+'1.Input NG EPS trend'!Z22</f>
        <v>3846000</v>
      </c>
      <c r="AM54" s="83">
        <f>+'1.Input NG EPS trend'!AA22</f>
        <v>3748000</v>
      </c>
      <c r="AN54" s="83">
        <f>+'1.Input NG EPS trend'!AB22</f>
        <v>3686000</v>
      </c>
      <c r="AO54" s="83">
        <f>+'1.Input NG EPS trend'!AC22</f>
        <v>0</v>
      </c>
      <c r="AP54" s="304">
        <f t="shared" ref="AP54:AP59" si="5">SUM(AL54:AO54)</f>
        <v>11280000</v>
      </c>
    </row>
    <row r="55" spans="1:42" ht="16.649999999999999" customHeight="1" x14ac:dyDescent="0.25">
      <c r="A55" s="331" t="s">
        <v>452</v>
      </c>
      <c r="B55" s="304">
        <v>39795000</v>
      </c>
      <c r="C55" s="83">
        <v>12400000</v>
      </c>
      <c r="D55" s="83">
        <v>13154000</v>
      </c>
      <c r="E55" s="83">
        <v>13290000</v>
      </c>
      <c r="F55" s="83">
        <v>14022000</v>
      </c>
      <c r="G55" s="304">
        <v>52866000</v>
      </c>
      <c r="H55" s="83">
        <v>17798000</v>
      </c>
      <c r="I55" s="83">
        <v>17667000</v>
      </c>
      <c r="J55" s="83">
        <v>26082000</v>
      </c>
      <c r="K55" s="83">
        <v>41175000</v>
      </c>
      <c r="L55" s="304">
        <v>102722000</v>
      </c>
      <c r="M55" s="83">
        <v>18630000</v>
      </c>
      <c r="N55" s="83">
        <v>23354000</v>
      </c>
      <c r="O55" s="83">
        <v>30295000</v>
      </c>
      <c r="P55" s="83">
        <v>17168000</v>
      </c>
      <c r="Q55" s="304">
        <v>89447000</v>
      </c>
      <c r="R55" s="83">
        <v>16485000</v>
      </c>
      <c r="S55" s="83">
        <v>24204000</v>
      </c>
      <c r="T55" s="83">
        <v>23894000</v>
      </c>
      <c r="U55" s="83">
        <v>47124000</v>
      </c>
      <c r="V55" s="304">
        <v>111707000</v>
      </c>
      <c r="W55" s="83">
        <v>18496000</v>
      </c>
      <c r="X55" s="83">
        <v>19221000</v>
      </c>
      <c r="Y55" s="83">
        <v>23758000</v>
      </c>
      <c r="Z55" s="83">
        <v>25782000</v>
      </c>
      <c r="AA55" s="304">
        <v>87257000</v>
      </c>
      <c r="AB55" s="83">
        <v>24225000</v>
      </c>
      <c r="AC55" s="83">
        <v>27293000</v>
      </c>
      <c r="AD55" s="83">
        <v>29624000</v>
      </c>
      <c r="AE55" s="83">
        <v>44658000</v>
      </c>
      <c r="AF55" s="304">
        <v>125800000</v>
      </c>
      <c r="AG55" s="83">
        <v>13292000</v>
      </c>
      <c r="AH55" s="83">
        <v>15735000</v>
      </c>
      <c r="AI55" s="83">
        <v>17497000</v>
      </c>
      <c r="AJ55" s="83">
        <v>24780000</v>
      </c>
      <c r="AK55" s="304">
        <v>71304000</v>
      </c>
      <c r="AL55" s="83">
        <f>+'1.Input NG EPS trend'!Z23</f>
        <v>27985000</v>
      </c>
      <c r="AM55" s="83">
        <f>+'1.Input NG EPS trend'!AA23</f>
        <v>29068000</v>
      </c>
      <c r="AN55" s="83">
        <f>+'1.Input NG EPS trend'!AB23</f>
        <v>26760000</v>
      </c>
      <c r="AO55" s="83">
        <f>+'1.Input NG EPS trend'!AC23</f>
        <v>0</v>
      </c>
      <c r="AP55" s="304">
        <f t="shared" si="5"/>
        <v>83813000</v>
      </c>
    </row>
    <row r="56" spans="1:42" ht="16.649999999999999" customHeight="1" x14ac:dyDescent="0.25">
      <c r="A56" s="331" t="s">
        <v>464</v>
      </c>
      <c r="B56" s="304">
        <v>4672000</v>
      </c>
      <c r="C56" s="83">
        <v>-3000</v>
      </c>
      <c r="D56" s="83">
        <v>2833000</v>
      </c>
      <c r="E56" s="83">
        <v>-788000</v>
      </c>
      <c r="F56" s="83">
        <v>681000</v>
      </c>
      <c r="G56" s="304">
        <v>2723000</v>
      </c>
      <c r="H56" s="83">
        <v>1000</v>
      </c>
      <c r="I56" s="83">
        <v>489000</v>
      </c>
      <c r="J56" s="83">
        <v>5043000</v>
      </c>
      <c r="K56" s="83">
        <v>14400000</v>
      </c>
      <c r="L56" s="304">
        <v>19933000</v>
      </c>
      <c r="M56" s="83">
        <v>2276000</v>
      </c>
      <c r="N56" s="83">
        <v>45000</v>
      </c>
      <c r="O56" s="83">
        <v>233000</v>
      </c>
      <c r="P56" s="83">
        <v>2447000</v>
      </c>
      <c r="Q56" s="304">
        <v>5001000</v>
      </c>
      <c r="R56" s="83">
        <v>1995000</v>
      </c>
      <c r="S56" s="83">
        <v>-619000</v>
      </c>
      <c r="T56" s="83">
        <v>-6000</v>
      </c>
      <c r="U56" s="83">
        <v>1345000</v>
      </c>
      <c r="V56" s="304">
        <v>2715000</v>
      </c>
      <c r="W56" s="83">
        <v>1278000</v>
      </c>
      <c r="X56" s="83">
        <v>18000</v>
      </c>
      <c r="Y56" s="83">
        <v>0</v>
      </c>
      <c r="Z56" s="83">
        <v>183000</v>
      </c>
      <c r="AA56" s="304">
        <v>1479000</v>
      </c>
      <c r="AB56" s="83">
        <v>739000</v>
      </c>
      <c r="AC56" s="83">
        <v>13111000</v>
      </c>
      <c r="AD56" s="83">
        <v>11743000</v>
      </c>
      <c r="AE56" s="83">
        <v>9723000</v>
      </c>
      <c r="AF56" s="304">
        <v>35316000</v>
      </c>
      <c r="AG56" s="83">
        <v>116000</v>
      </c>
      <c r="AH56" s="83">
        <v>6574000</v>
      </c>
      <c r="AI56" s="83">
        <v>2502000</v>
      </c>
      <c r="AJ56" s="83">
        <v>2516000</v>
      </c>
      <c r="AK56" s="304">
        <v>11708000</v>
      </c>
      <c r="AL56" s="83">
        <f>+'1.Input NG EPS trend'!Z25</f>
        <v>206000</v>
      </c>
      <c r="AM56" s="83">
        <f>+'1.Input NG EPS trend'!AA25</f>
        <v>397000</v>
      </c>
      <c r="AN56" s="83">
        <f>+'1.Input NG EPS trend'!AB25</f>
        <v>149000</v>
      </c>
      <c r="AO56" s="83">
        <f>+'1.Input NG EPS trend'!AC25</f>
        <v>0</v>
      </c>
      <c r="AP56" s="304">
        <f t="shared" si="5"/>
        <v>752000</v>
      </c>
    </row>
    <row r="57" spans="1:42" ht="16.649999999999999" customHeight="1" x14ac:dyDescent="0.25">
      <c r="A57" s="331" t="s">
        <v>461</v>
      </c>
      <c r="B57" s="304">
        <v>8639000</v>
      </c>
      <c r="C57" s="83">
        <v>7119000</v>
      </c>
      <c r="D57" s="83">
        <v>5453000</v>
      </c>
      <c r="E57" s="83">
        <v>5214000</v>
      </c>
      <c r="F57" s="83">
        <v>0</v>
      </c>
      <c r="G57" s="304">
        <v>17786000</v>
      </c>
      <c r="H57" s="83">
        <v>0</v>
      </c>
      <c r="I57" s="83">
        <v>2122000</v>
      </c>
      <c r="J57" s="83">
        <v>700000</v>
      </c>
      <c r="K57" s="83">
        <v>-705000</v>
      </c>
      <c r="L57" s="304">
        <v>2117000</v>
      </c>
      <c r="M57" s="83">
        <v>0</v>
      </c>
      <c r="N57" s="83">
        <v>0</v>
      </c>
      <c r="O57" s="83">
        <v>0</v>
      </c>
      <c r="P57" s="83">
        <v>0</v>
      </c>
      <c r="Q57" s="304">
        <v>0</v>
      </c>
      <c r="R57" s="83">
        <v>3605000</v>
      </c>
      <c r="S57" s="83">
        <v>258000</v>
      </c>
      <c r="T57" s="83">
        <v>0</v>
      </c>
      <c r="U57" s="83">
        <v>0</v>
      </c>
      <c r="V57" s="304">
        <v>3863000</v>
      </c>
      <c r="W57" s="83">
        <v>0</v>
      </c>
      <c r="X57" s="83">
        <v>0</v>
      </c>
      <c r="Y57" s="83">
        <v>0</v>
      </c>
      <c r="Z57" s="83">
        <v>0</v>
      </c>
      <c r="AA57" s="304">
        <v>0</v>
      </c>
      <c r="AB57" s="83">
        <v>0</v>
      </c>
      <c r="AC57" s="83">
        <v>1250000</v>
      </c>
      <c r="AD57" s="83">
        <v>4112000</v>
      </c>
      <c r="AE57" s="83">
        <v>3663000</v>
      </c>
      <c r="AF57" s="304">
        <v>9025000</v>
      </c>
      <c r="AG57" s="83">
        <v>1875000</v>
      </c>
      <c r="AH57" s="83">
        <v>0</v>
      </c>
      <c r="AI57" s="83">
        <v>0</v>
      </c>
      <c r="AJ57" s="83">
        <v>0</v>
      </c>
      <c r="AK57" s="304">
        <v>1875000</v>
      </c>
      <c r="AL57" s="83">
        <f>+'1.Input NG EPS trend'!Z26</f>
        <v>0</v>
      </c>
      <c r="AM57" s="83">
        <f>+'1.Input NG EPS trend'!AA26</f>
        <v>0</v>
      </c>
      <c r="AN57" s="83">
        <f>+'1.Input NG EPS trend'!AB26</f>
        <v>0</v>
      </c>
      <c r="AO57" s="83">
        <f>+'1.Input NG EPS trend'!AC26</f>
        <v>0</v>
      </c>
      <c r="AP57" s="304">
        <f t="shared" si="5"/>
        <v>0</v>
      </c>
    </row>
    <row r="58" spans="1:42" ht="16.649999999999999" customHeight="1" x14ac:dyDescent="0.25">
      <c r="A58" s="331" t="s">
        <v>453</v>
      </c>
      <c r="B58" s="304">
        <v>0</v>
      </c>
      <c r="C58" s="83">
        <v>0</v>
      </c>
      <c r="D58" s="83">
        <v>0</v>
      </c>
      <c r="E58" s="83">
        <v>0</v>
      </c>
      <c r="F58" s="83">
        <v>0</v>
      </c>
      <c r="G58" s="304">
        <v>0</v>
      </c>
      <c r="H58" s="83">
        <v>0</v>
      </c>
      <c r="I58" s="83">
        <v>0</v>
      </c>
      <c r="J58" s="83">
        <v>1959000</v>
      </c>
      <c r="K58" s="83">
        <v>1853000</v>
      </c>
      <c r="L58" s="304">
        <v>3812000</v>
      </c>
      <c r="M58" s="83">
        <v>1906000</v>
      </c>
      <c r="N58" s="83">
        <v>1663000</v>
      </c>
      <c r="O58" s="83">
        <v>0</v>
      </c>
      <c r="P58" s="83">
        <v>0</v>
      </c>
      <c r="Q58" s="304">
        <v>3569000</v>
      </c>
      <c r="R58" s="83">
        <v>0</v>
      </c>
      <c r="S58" s="83">
        <v>0</v>
      </c>
      <c r="T58" s="83">
        <v>0</v>
      </c>
      <c r="U58" s="83">
        <v>0</v>
      </c>
      <c r="V58" s="304">
        <v>0</v>
      </c>
      <c r="W58" s="83">
        <v>0</v>
      </c>
      <c r="X58" s="83">
        <v>0</v>
      </c>
      <c r="Y58" s="83">
        <v>0</v>
      </c>
      <c r="Z58" s="83">
        <v>0</v>
      </c>
      <c r="AA58" s="304">
        <v>0</v>
      </c>
      <c r="AB58" s="83">
        <v>0</v>
      </c>
      <c r="AC58" s="83">
        <v>0</v>
      </c>
      <c r="AD58" s="83">
        <v>0</v>
      </c>
      <c r="AE58" s="83">
        <v>0</v>
      </c>
      <c r="AF58" s="304">
        <v>0</v>
      </c>
      <c r="AG58" s="83">
        <v>0</v>
      </c>
      <c r="AH58" s="83">
        <v>0</v>
      </c>
      <c r="AI58" s="83">
        <v>0</v>
      </c>
      <c r="AJ58" s="83">
        <v>0</v>
      </c>
      <c r="AK58" s="304">
        <v>0</v>
      </c>
      <c r="AL58" s="83">
        <f>+'1.Input NG EPS trend'!Z24</f>
        <v>0</v>
      </c>
      <c r="AM58" s="83">
        <f>+'1.Input NG EPS trend'!AA24</f>
        <v>0</v>
      </c>
      <c r="AN58" s="83">
        <f>+'1.Input NG EPS trend'!AB24</f>
        <v>0</v>
      </c>
      <c r="AO58" s="83">
        <f>+'1.Input NG EPS trend'!AC24</f>
        <v>0</v>
      </c>
      <c r="AP58" s="304">
        <f t="shared" si="5"/>
        <v>0</v>
      </c>
    </row>
    <row r="59" spans="1:42" ht="16.649999999999999" customHeight="1" x14ac:dyDescent="0.25">
      <c r="A59" s="332" t="s">
        <v>467</v>
      </c>
      <c r="B59" s="297">
        <v>0</v>
      </c>
      <c r="C59" s="255">
        <v>0</v>
      </c>
      <c r="D59" s="255">
        <v>0</v>
      </c>
      <c r="E59" s="255">
        <v>0</v>
      </c>
      <c r="F59" s="255">
        <v>0</v>
      </c>
      <c r="G59" s="297">
        <v>0</v>
      </c>
      <c r="H59" s="255">
        <v>0</v>
      </c>
      <c r="I59" s="255">
        <v>0</v>
      </c>
      <c r="J59" s="255">
        <v>0</v>
      </c>
      <c r="K59" s="255">
        <v>0</v>
      </c>
      <c r="L59" s="297">
        <v>0</v>
      </c>
      <c r="M59" s="255">
        <v>0</v>
      </c>
      <c r="N59" s="255">
        <v>0</v>
      </c>
      <c r="O59" s="255">
        <v>0</v>
      </c>
      <c r="P59" s="255">
        <v>0</v>
      </c>
      <c r="Q59" s="297">
        <v>0</v>
      </c>
      <c r="R59" s="255">
        <v>0</v>
      </c>
      <c r="S59" s="255">
        <v>0</v>
      </c>
      <c r="T59" s="255">
        <v>0</v>
      </c>
      <c r="U59" s="255">
        <v>0</v>
      </c>
      <c r="V59" s="297">
        <v>0</v>
      </c>
      <c r="W59" s="255">
        <v>-30052000</v>
      </c>
      <c r="X59" s="255">
        <v>0</v>
      </c>
      <c r="Y59" s="255">
        <v>-183000</v>
      </c>
      <c r="Z59" s="255">
        <v>0</v>
      </c>
      <c r="AA59" s="297">
        <v>-30235000</v>
      </c>
      <c r="AB59" s="255">
        <v>0</v>
      </c>
      <c r="AC59" s="255">
        <v>0</v>
      </c>
      <c r="AD59" s="255">
        <v>0</v>
      </c>
      <c r="AE59" s="255">
        <v>0</v>
      </c>
      <c r="AF59" s="297">
        <v>0</v>
      </c>
      <c r="AG59" s="255">
        <v>0</v>
      </c>
      <c r="AH59" s="255">
        <v>0</v>
      </c>
      <c r="AI59" s="255">
        <v>0</v>
      </c>
      <c r="AJ59" s="255">
        <v>0</v>
      </c>
      <c r="AK59" s="297">
        <v>0</v>
      </c>
      <c r="AL59" s="255">
        <f>+'1.Input NG EPS trend'!Z27</f>
        <v>0</v>
      </c>
      <c r="AM59" s="255">
        <f>+'1.Input NG EPS trend'!AA27</f>
        <v>0</v>
      </c>
      <c r="AN59" s="255">
        <f>+'1.Input NG EPS trend'!AB27</f>
        <v>0</v>
      </c>
      <c r="AO59" s="255">
        <f>+'1.Input NG EPS trend'!AC27</f>
        <v>0</v>
      </c>
      <c r="AP59" s="297">
        <f t="shared" si="5"/>
        <v>0</v>
      </c>
    </row>
    <row r="60" spans="1:42" ht="27.5" customHeight="1" x14ac:dyDescent="0.3">
      <c r="A60" s="44" t="s">
        <v>468</v>
      </c>
      <c r="B60" s="333">
        <f t="shared" ref="B60:AP60" si="6">+B52+SUM(B54:B59)</f>
        <v>-59036000</v>
      </c>
      <c r="C60" s="334">
        <f t="shared" si="6"/>
        <v>-14924000</v>
      </c>
      <c r="D60" s="334">
        <f t="shared" si="6"/>
        <v>-10415000</v>
      </c>
      <c r="E60" s="334">
        <f t="shared" si="6"/>
        <v>-3576000</v>
      </c>
      <c r="F60" s="334">
        <f t="shared" si="6"/>
        <v>-6837000</v>
      </c>
      <c r="G60" s="333">
        <f t="shared" si="6"/>
        <v>-35752000</v>
      </c>
      <c r="H60" s="334">
        <f t="shared" si="6"/>
        <v>-5477000</v>
      </c>
      <c r="I60" s="334">
        <f t="shared" si="6"/>
        <v>-14654000</v>
      </c>
      <c r="J60" s="334">
        <f t="shared" si="6"/>
        <v>-664000</v>
      </c>
      <c r="K60" s="334">
        <f t="shared" si="6"/>
        <v>-14119000</v>
      </c>
      <c r="L60" s="333">
        <f t="shared" si="6"/>
        <v>-34914000</v>
      </c>
      <c r="M60" s="334">
        <f t="shared" si="6"/>
        <v>-16558000</v>
      </c>
      <c r="N60" s="334">
        <f t="shared" si="6"/>
        <v>-15062000</v>
      </c>
      <c r="O60" s="334">
        <f t="shared" si="6"/>
        <v>-2430000</v>
      </c>
      <c r="P60" s="334">
        <f t="shared" si="6"/>
        <v>-14428000</v>
      </c>
      <c r="Q60" s="333">
        <f t="shared" si="6"/>
        <v>-48478000</v>
      </c>
      <c r="R60" s="334">
        <f t="shared" si="6"/>
        <v>1847000</v>
      </c>
      <c r="S60" s="334">
        <f t="shared" si="6"/>
        <v>1116000</v>
      </c>
      <c r="T60" s="334">
        <f t="shared" si="6"/>
        <v>12234000</v>
      </c>
      <c r="U60" s="334">
        <f t="shared" si="6"/>
        <v>334000</v>
      </c>
      <c r="V60" s="333">
        <f t="shared" si="6"/>
        <v>15531000</v>
      </c>
      <c r="W60" s="334">
        <f t="shared" si="6"/>
        <v>7367000</v>
      </c>
      <c r="X60" s="334">
        <f t="shared" si="6"/>
        <v>17819000</v>
      </c>
      <c r="Y60" s="334">
        <f t="shared" si="6"/>
        <v>14195000</v>
      </c>
      <c r="Z60" s="334">
        <f t="shared" si="6"/>
        <v>2756000</v>
      </c>
      <c r="AA60" s="333">
        <f t="shared" si="6"/>
        <v>42137000</v>
      </c>
      <c r="AB60" s="334">
        <f t="shared" si="6"/>
        <v>4704000</v>
      </c>
      <c r="AC60" s="334">
        <f t="shared" si="6"/>
        <v>19417000</v>
      </c>
      <c r="AD60" s="334">
        <f t="shared" si="6"/>
        <v>25003000</v>
      </c>
      <c r="AE60" s="334">
        <f t="shared" si="6"/>
        <v>18988000</v>
      </c>
      <c r="AF60" s="333">
        <f t="shared" si="6"/>
        <v>68112000</v>
      </c>
      <c r="AG60" s="334">
        <f t="shared" si="6"/>
        <v>25692000</v>
      </c>
      <c r="AH60" s="334">
        <f t="shared" si="6"/>
        <v>38165000</v>
      </c>
      <c r="AI60" s="334">
        <f t="shared" si="6"/>
        <v>42988000</v>
      </c>
      <c r="AJ60" s="334">
        <f t="shared" si="6"/>
        <v>21188000</v>
      </c>
      <c r="AK60" s="333">
        <f t="shared" si="6"/>
        <v>128033000</v>
      </c>
      <c r="AL60" s="334">
        <f t="shared" si="6"/>
        <v>31233000</v>
      </c>
      <c r="AM60" s="334">
        <f t="shared" si="6"/>
        <v>44897000</v>
      </c>
      <c r="AN60" s="334">
        <f t="shared" si="6"/>
        <v>49301000</v>
      </c>
      <c r="AO60" s="334">
        <f t="shared" si="6"/>
        <v>0</v>
      </c>
      <c r="AP60" s="333">
        <f t="shared" si="6"/>
        <v>125431000</v>
      </c>
    </row>
    <row r="61" spans="1:42" ht="16.649999999999999" customHeight="1" x14ac:dyDescent="0.3">
      <c r="A61" s="311" t="s">
        <v>450</v>
      </c>
      <c r="B61" s="329">
        <v>-0.33800000000000002</v>
      </c>
      <c r="C61" s="330">
        <v>-0.31900000000000001</v>
      </c>
      <c r="D61" s="330">
        <v>-0.193</v>
      </c>
      <c r="E61" s="330">
        <v>-0.06</v>
      </c>
      <c r="F61" s="330">
        <v>-0.114</v>
      </c>
      <c r="G61" s="329">
        <v>-0.16200000000000001</v>
      </c>
      <c r="H61" s="330">
        <v>-8.7999999999999995E-2</v>
      </c>
      <c r="I61" s="330">
        <v>-0.22600000000000001</v>
      </c>
      <c r="J61" s="330">
        <v>-8.0000000000000002E-3</v>
      </c>
      <c r="K61" s="330">
        <v>-0.18</v>
      </c>
      <c r="L61" s="329">
        <v>-0.122</v>
      </c>
      <c r="M61" s="330">
        <v>-0.20100000000000001</v>
      </c>
      <c r="N61" s="330">
        <v>-0.16700000000000001</v>
      </c>
      <c r="O61" s="330">
        <v>-2.4E-2</v>
      </c>
      <c r="P61" s="330">
        <v>-0.13600000000000001</v>
      </c>
      <c r="Q61" s="329">
        <v>-0.127</v>
      </c>
      <c r="R61" s="330">
        <v>1.9E-2</v>
      </c>
      <c r="S61" s="330">
        <v>1.0999999999999999E-2</v>
      </c>
      <c r="T61" s="330">
        <v>0.10199999999999999</v>
      </c>
      <c r="U61" s="330">
        <v>3.0000000000000001E-3</v>
      </c>
      <c r="V61" s="329">
        <v>3.5000000000000003E-2</v>
      </c>
      <c r="W61" s="330">
        <v>6.2E-2</v>
      </c>
      <c r="X61" s="330">
        <v>0.14000000000000001</v>
      </c>
      <c r="Y61" s="330">
        <v>0.10100000000000001</v>
      </c>
      <c r="Z61" s="330">
        <v>1.9E-2</v>
      </c>
      <c r="AA61" s="329">
        <v>0.08</v>
      </c>
      <c r="AB61" s="330">
        <v>3.3000000000000002E-2</v>
      </c>
      <c r="AC61" s="330">
        <v>0.13200000000000001</v>
      </c>
      <c r="AD61" s="330">
        <v>0.158</v>
      </c>
      <c r="AE61" s="330">
        <v>0.128</v>
      </c>
      <c r="AF61" s="329">
        <v>0.114</v>
      </c>
      <c r="AG61" s="330">
        <v>0.16700000000000001</v>
      </c>
      <c r="AH61" s="330">
        <v>0.23899999999999999</v>
      </c>
      <c r="AI61" s="330">
        <v>0.247</v>
      </c>
      <c r="AJ61" s="330">
        <v>0.123</v>
      </c>
      <c r="AK61" s="329">
        <v>0.19400000000000001</v>
      </c>
      <c r="AL61" s="330">
        <f>IFERROR(+AL60/AL7,0)</f>
        <v>0.17749955956149374</v>
      </c>
      <c r="AM61" s="330">
        <f>IFERROR(+AM60/AM7,0)</f>
        <v>0.24205452790821799</v>
      </c>
      <c r="AN61" s="330">
        <f>IFERROR(+AN60/AN7,0)</f>
        <v>0.25229259206189997</v>
      </c>
      <c r="AO61" s="330">
        <f>IFERROR(+AO60/AO7,0)</f>
        <v>0</v>
      </c>
      <c r="AP61" s="329">
        <f>IFERROR(+AP60/AP7,0)</f>
        <v>0.22524853822173058</v>
      </c>
    </row>
    <row r="62" spans="1:42" ht="15" customHeight="1" x14ac:dyDescent="0.25"/>
    <row r="63" spans="1:42" ht="16.649999999999999" customHeight="1" x14ac:dyDescent="0.3">
      <c r="A63" s="410" t="s">
        <v>440</v>
      </c>
      <c r="B63" s="362"/>
      <c r="C63" s="362"/>
    </row>
    <row r="64" spans="1:42" ht="27.5" customHeight="1" x14ac:dyDescent="0.3">
      <c r="B64" s="410" t="s">
        <v>469</v>
      </c>
      <c r="C64" s="362"/>
      <c r="D64" s="362"/>
      <c r="E64" s="362"/>
      <c r="F64" s="362"/>
    </row>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sheetData>
  <mergeCells count="2">
    <mergeCell ref="B64:F64"/>
    <mergeCell ref="A63:C63"/>
  </mergeCells>
  <pageMargins left="0.25" right="0.25" top="0.75" bottom="0.75" header="0.3" footer="0.3"/>
  <pageSetup scale="45"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S20"/>
  <sheetViews>
    <sheetView zoomScale="90" zoomScaleNormal="90" workbookViewId="0">
      <pane xSplit="1" ySplit="4" topLeftCell="AD5" activePane="bottomRight" state="frozen"/>
      <selection pane="topRight"/>
      <selection pane="bottomLeft"/>
      <selection pane="bottomRight" activeCell="AN4" sqref="AN4"/>
    </sheetView>
  </sheetViews>
  <sheetFormatPr defaultColWidth="13.08984375" defaultRowHeight="12.5" outlineLevelCol="1" x14ac:dyDescent="0.25"/>
  <cols>
    <col min="1" max="1" width="41.26953125" customWidth="1"/>
    <col min="2" max="16" width="12.90625" hidden="1" customWidth="1" outlineLevel="1"/>
    <col min="17" max="17" width="12.90625" customWidth="1" collapsed="1"/>
    <col min="18" max="21" width="12.90625" hidden="1" customWidth="1" outlineLevel="1"/>
    <col min="22" max="22" width="12.90625" customWidth="1" collapsed="1"/>
    <col min="23" max="26" width="12.90625" hidden="1" customWidth="1" outlineLevel="1"/>
    <col min="27" max="27" width="12.90625" customWidth="1" collapsed="1"/>
    <col min="28" max="40" width="12.90625" customWidth="1"/>
    <col min="41" max="42" width="12.90625" hidden="1" customWidth="1"/>
    <col min="43" max="45" width="5" customWidth="1"/>
  </cols>
  <sheetData>
    <row r="1" spans="1:45" ht="34.15" customHeight="1" x14ac:dyDescent="0.25">
      <c r="A1" s="66"/>
      <c r="B1" s="335"/>
      <c r="C1" s="335"/>
      <c r="D1" s="335"/>
      <c r="E1" s="335"/>
      <c r="F1" s="335"/>
      <c r="G1" s="335"/>
      <c r="H1" s="335"/>
      <c r="I1" s="335"/>
      <c r="J1" s="335"/>
      <c r="K1" s="335"/>
      <c r="L1" s="335"/>
      <c r="M1" s="335"/>
      <c r="N1" s="335"/>
      <c r="O1" s="335"/>
      <c r="P1" s="335"/>
      <c r="Q1" s="335"/>
      <c r="R1" s="335"/>
      <c r="S1" s="335"/>
      <c r="T1" s="335"/>
      <c r="U1" s="335"/>
      <c r="V1" s="335"/>
      <c r="W1" s="335"/>
      <c r="X1" s="335"/>
      <c r="Y1" s="335"/>
      <c r="Z1" s="335"/>
      <c r="AA1" s="335"/>
      <c r="AB1" s="335"/>
      <c r="AC1" s="335"/>
      <c r="AD1" s="335"/>
      <c r="AE1" s="335"/>
      <c r="AF1" s="335"/>
      <c r="AG1" s="335"/>
      <c r="AH1" s="335"/>
      <c r="AI1" s="335"/>
      <c r="AJ1" s="335"/>
      <c r="AK1" s="335"/>
      <c r="AL1" s="335"/>
      <c r="AM1" s="335"/>
      <c r="AN1" s="335"/>
      <c r="AO1" s="335"/>
      <c r="AP1" s="335"/>
      <c r="AQ1" s="335"/>
      <c r="AR1" s="335"/>
      <c r="AS1" s="335"/>
    </row>
    <row r="2" spans="1:45" ht="15" customHeight="1" x14ac:dyDescent="0.3">
      <c r="A2" s="95" t="s">
        <v>470</v>
      </c>
    </row>
    <row r="3" spans="1:45" ht="15" customHeight="1" x14ac:dyDescent="0.25">
      <c r="A3" s="50" t="s">
        <v>471</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row>
    <row r="4" spans="1:45" ht="15" customHeight="1" x14ac:dyDescent="0.3">
      <c r="B4" s="185" t="s">
        <v>223</v>
      </c>
      <c r="C4" s="186" t="s">
        <v>224</v>
      </c>
      <c r="D4" s="186" t="s">
        <v>225</v>
      </c>
      <c r="E4" s="186" t="s">
        <v>226</v>
      </c>
      <c r="F4" s="186" t="s">
        <v>227</v>
      </c>
      <c r="G4" s="185" t="s">
        <v>228</v>
      </c>
      <c r="H4" s="186" t="s">
        <v>229</v>
      </c>
      <c r="I4" s="186" t="s">
        <v>230</v>
      </c>
      <c r="J4" s="186" t="s">
        <v>231</v>
      </c>
      <c r="K4" s="186" t="s">
        <v>232</v>
      </c>
      <c r="L4" s="185" t="s">
        <v>233</v>
      </c>
      <c r="M4" s="186" t="s">
        <v>234</v>
      </c>
      <c r="N4" s="186" t="s">
        <v>235</v>
      </c>
      <c r="O4" s="186" t="s">
        <v>236</v>
      </c>
      <c r="P4" s="186" t="s">
        <v>237</v>
      </c>
      <c r="Q4" s="185" t="s">
        <v>238</v>
      </c>
      <c r="R4" s="186" t="s">
        <v>239</v>
      </c>
      <c r="S4" s="186" t="s">
        <v>240</v>
      </c>
      <c r="T4" s="186" t="s">
        <v>241</v>
      </c>
      <c r="U4" s="186" t="s">
        <v>242</v>
      </c>
      <c r="V4" s="185" t="s">
        <v>243</v>
      </c>
      <c r="W4" s="186" t="s">
        <v>244</v>
      </c>
      <c r="X4" s="186" t="s">
        <v>245</v>
      </c>
      <c r="Y4" s="186" t="s">
        <v>246</v>
      </c>
      <c r="Z4" s="186" t="s">
        <v>247</v>
      </c>
      <c r="AA4" s="185" t="s">
        <v>248</v>
      </c>
      <c r="AB4" s="186" t="s">
        <v>249</v>
      </c>
      <c r="AC4" s="186" t="s">
        <v>250</v>
      </c>
      <c r="AD4" s="186" t="s">
        <v>251</v>
      </c>
      <c r="AE4" s="186" t="s">
        <v>252</v>
      </c>
      <c r="AF4" s="185" t="s">
        <v>253</v>
      </c>
      <c r="AG4" s="186" t="s">
        <v>254</v>
      </c>
      <c r="AH4" s="186" t="s">
        <v>255</v>
      </c>
      <c r="AI4" s="186" t="s">
        <v>256</v>
      </c>
      <c r="AJ4" s="186" t="s">
        <v>257</v>
      </c>
      <c r="AK4" s="185" t="s">
        <v>258</v>
      </c>
      <c r="AL4" s="186" t="s">
        <v>259</v>
      </c>
      <c r="AM4" s="186" t="s">
        <v>260</v>
      </c>
      <c r="AN4" s="186" t="s">
        <v>261</v>
      </c>
      <c r="AO4" s="186" t="s">
        <v>262</v>
      </c>
      <c r="AP4" s="185" t="s">
        <v>263</v>
      </c>
    </row>
    <row r="5" spans="1:45" ht="15" customHeight="1" x14ac:dyDescent="0.25">
      <c r="B5" s="189"/>
      <c r="C5" s="50"/>
      <c r="D5" s="50"/>
      <c r="E5" s="50"/>
      <c r="F5" s="50"/>
      <c r="G5" s="189"/>
      <c r="H5" s="50"/>
      <c r="I5" s="50"/>
      <c r="J5" s="50"/>
      <c r="K5" s="50"/>
      <c r="L5" s="189"/>
      <c r="M5" s="50"/>
      <c r="N5" s="50"/>
      <c r="O5" s="50"/>
      <c r="P5" s="50"/>
      <c r="Q5" s="189"/>
      <c r="R5" s="50"/>
      <c r="S5" s="50"/>
      <c r="T5" s="50"/>
      <c r="U5" s="50"/>
      <c r="V5" s="189"/>
      <c r="W5" s="50"/>
      <c r="X5" s="50"/>
      <c r="Y5" s="50"/>
      <c r="Z5" s="50"/>
      <c r="AA5" s="189"/>
      <c r="AB5" s="50"/>
      <c r="AC5" s="50"/>
      <c r="AD5" s="50"/>
      <c r="AE5" s="50"/>
      <c r="AF5" s="189"/>
      <c r="AG5" s="50"/>
      <c r="AH5" s="50"/>
      <c r="AI5" s="50"/>
      <c r="AJ5" s="50"/>
      <c r="AK5" s="189"/>
      <c r="AL5" s="50"/>
      <c r="AM5" s="50"/>
      <c r="AN5" s="50"/>
      <c r="AO5" s="50"/>
      <c r="AP5" s="189"/>
    </row>
    <row r="6" spans="1:45" ht="27.5" customHeight="1" x14ac:dyDescent="0.25">
      <c r="A6" s="1" t="s">
        <v>472</v>
      </c>
      <c r="B6" s="315">
        <v>-85576000</v>
      </c>
      <c r="C6" s="316">
        <v>-26215000</v>
      </c>
      <c r="D6" s="316">
        <v>-25191000</v>
      </c>
      <c r="E6" s="316">
        <v>3117000</v>
      </c>
      <c r="F6" s="316">
        <v>-19010000</v>
      </c>
      <c r="G6" s="315">
        <v>-67299000</v>
      </c>
      <c r="H6" s="316">
        <v>-27818000</v>
      </c>
      <c r="I6" s="316">
        <v>-41180000</v>
      </c>
      <c r="J6" s="316">
        <v>-15261000</v>
      </c>
      <c r="K6" s="316">
        <v>-49688000</v>
      </c>
      <c r="L6" s="315">
        <v>-133947000</v>
      </c>
      <c r="M6" s="316">
        <v>-42140000</v>
      </c>
      <c r="N6" s="316">
        <v>-40202000</v>
      </c>
      <c r="O6" s="316">
        <v>-38040000</v>
      </c>
      <c r="P6" s="316">
        <v>-4879000</v>
      </c>
      <c r="Q6" s="315">
        <v>-125261000</v>
      </c>
      <c r="R6" s="316">
        <v>-21728000</v>
      </c>
      <c r="S6" s="316">
        <v>-23968000</v>
      </c>
      <c r="T6" s="316">
        <v>-11725000</v>
      </c>
      <c r="U6" s="316">
        <v>-32847000</v>
      </c>
      <c r="V6" s="315">
        <v>-90268000</v>
      </c>
      <c r="W6" s="316">
        <v>17365000</v>
      </c>
      <c r="X6" s="316">
        <v>-6431000</v>
      </c>
      <c r="Y6" s="316">
        <v>-15375000</v>
      </c>
      <c r="Z6" s="316">
        <v>-29392000</v>
      </c>
      <c r="AA6" s="315">
        <v>-33833000</v>
      </c>
      <c r="AB6" s="316">
        <v>-27218000</v>
      </c>
      <c r="AC6" s="316">
        <v>-30436000</v>
      </c>
      <c r="AD6" s="316">
        <v>-30520000</v>
      </c>
      <c r="AE6" s="316">
        <v>-35932000</v>
      </c>
      <c r="AF6" s="315">
        <v>-124106000</v>
      </c>
      <c r="AG6" s="316">
        <v>-1586000</v>
      </c>
      <c r="AH6" s="316">
        <v>4476000</v>
      </c>
      <c r="AI6" s="316">
        <v>13379000</v>
      </c>
      <c r="AJ6" s="316">
        <v>-6178000</v>
      </c>
      <c r="AK6" s="315">
        <v>10091000</v>
      </c>
      <c r="AL6" s="316">
        <f>+'1.Input IS Trend &amp; EPS'!AZ30</f>
        <v>-7489000</v>
      </c>
      <c r="AM6" s="316">
        <f>+'1.Input IS Trend &amp; EPS'!BA30</f>
        <v>1732000</v>
      </c>
      <c r="AN6" s="316">
        <f>+'1.Input IS Trend &amp; EPS'!BB30</f>
        <v>9522000</v>
      </c>
      <c r="AO6" s="316">
        <f>+'1.Input IS Trend &amp; EPS'!BC30</f>
        <v>0</v>
      </c>
      <c r="AP6" s="315">
        <f>SUM(AL6:AO6)</f>
        <v>3765000</v>
      </c>
    </row>
    <row r="7" spans="1:45" ht="16.649999999999999" customHeight="1" x14ac:dyDescent="0.25">
      <c r="A7" s="303" t="s">
        <v>436</v>
      </c>
      <c r="B7" s="304">
        <v>-45184000</v>
      </c>
      <c r="C7" s="83">
        <v>-14184000</v>
      </c>
      <c r="D7" s="83">
        <v>-12679000</v>
      </c>
      <c r="E7" s="83">
        <v>-30374000</v>
      </c>
      <c r="F7" s="83">
        <v>-8486000</v>
      </c>
      <c r="G7" s="304">
        <v>-65723000</v>
      </c>
      <c r="H7" s="83">
        <v>-1428000</v>
      </c>
      <c r="I7" s="83">
        <v>2700000</v>
      </c>
      <c r="J7" s="83">
        <v>-22546000</v>
      </c>
      <c r="K7" s="83">
        <v>-24135000</v>
      </c>
      <c r="L7" s="304">
        <v>-45409000</v>
      </c>
      <c r="M7" s="83">
        <v>-353000</v>
      </c>
      <c r="N7" s="83">
        <v>-5291000</v>
      </c>
      <c r="O7" s="83">
        <v>-287000</v>
      </c>
      <c r="P7" s="83">
        <v>-34345000</v>
      </c>
      <c r="Q7" s="304">
        <v>-40276000</v>
      </c>
      <c r="R7" s="83">
        <v>-3816000</v>
      </c>
      <c r="S7" s="83">
        <v>-3109000</v>
      </c>
      <c r="T7" s="83">
        <v>-4142000</v>
      </c>
      <c r="U7" s="83">
        <v>-19465000</v>
      </c>
      <c r="V7" s="304">
        <v>-30532000</v>
      </c>
      <c r="W7" s="83">
        <v>-4365000</v>
      </c>
      <c r="X7" s="83">
        <v>399000</v>
      </c>
      <c r="Y7" s="83">
        <v>1348000</v>
      </c>
      <c r="Z7" s="83">
        <v>1376000</v>
      </c>
      <c r="AA7" s="304">
        <v>-1242000</v>
      </c>
      <c r="AB7" s="83">
        <v>2315000</v>
      </c>
      <c r="AC7" s="83">
        <v>3562000</v>
      </c>
      <c r="AD7" s="83">
        <v>5835000</v>
      </c>
      <c r="AE7" s="83">
        <v>-6460000</v>
      </c>
      <c r="AF7" s="304">
        <v>5252000</v>
      </c>
      <c r="AG7" s="83">
        <v>8705000</v>
      </c>
      <c r="AH7" s="83">
        <v>10163000</v>
      </c>
      <c r="AI7" s="83">
        <v>8429000</v>
      </c>
      <c r="AJ7" s="83">
        <v>-3027000</v>
      </c>
      <c r="AK7" s="304">
        <v>24270000</v>
      </c>
      <c r="AL7" s="83">
        <f>+'1.Input IS Trend &amp; EPS'!AZ29</f>
        <v>6685000</v>
      </c>
      <c r="AM7" s="83">
        <f>+'1.Input IS Trend &amp; EPS'!BA29</f>
        <v>9952000</v>
      </c>
      <c r="AN7" s="83">
        <f>+'1.Input IS Trend &amp; EPS'!BB29</f>
        <v>9184000</v>
      </c>
      <c r="AO7" s="83">
        <f>+'1.Input IS Trend &amp; EPS'!BC29</f>
        <v>0</v>
      </c>
      <c r="AP7" s="304">
        <f>SUM(AL7:AO7)</f>
        <v>25821000</v>
      </c>
    </row>
    <row r="8" spans="1:45" ht="16.649999999999999" customHeight="1" x14ac:dyDescent="0.25">
      <c r="A8" s="305" t="s">
        <v>473</v>
      </c>
      <c r="B8" s="297">
        <v>-652000</v>
      </c>
      <c r="C8" s="255">
        <v>580000</v>
      </c>
      <c r="D8" s="255">
        <v>-263000</v>
      </c>
      <c r="E8" s="255">
        <v>-432000</v>
      </c>
      <c r="F8" s="255">
        <v>-387000</v>
      </c>
      <c r="G8" s="297">
        <v>-502000</v>
      </c>
      <c r="H8" s="255">
        <v>-356000</v>
      </c>
      <c r="I8" s="255">
        <v>281000</v>
      </c>
      <c r="J8" s="255">
        <v>-10404000</v>
      </c>
      <c r="K8" s="255">
        <v>-8311000</v>
      </c>
      <c r="L8" s="297">
        <v>-18790000</v>
      </c>
      <c r="M8" s="255">
        <v>-5882000</v>
      </c>
      <c r="N8" s="255">
        <v>-4780000</v>
      </c>
      <c r="O8" s="255">
        <v>-3158000</v>
      </c>
      <c r="P8" s="255">
        <v>-1565000</v>
      </c>
      <c r="Q8" s="297">
        <v>-15385000</v>
      </c>
      <c r="R8" s="255">
        <v>-463000</v>
      </c>
      <c r="S8" s="255">
        <v>225000</v>
      </c>
      <c r="T8" s="255">
        <v>86000</v>
      </c>
      <c r="U8" s="255">
        <v>404000</v>
      </c>
      <c r="V8" s="297">
        <v>252000</v>
      </c>
      <c r="W8" s="255">
        <v>-30601000</v>
      </c>
      <c r="X8" s="255">
        <v>-150000</v>
      </c>
      <c r="Y8" s="255">
        <v>241000</v>
      </c>
      <c r="Z8" s="255">
        <v>47000</v>
      </c>
      <c r="AA8" s="297">
        <v>-30463000</v>
      </c>
      <c r="AB8" s="255">
        <v>-699000</v>
      </c>
      <c r="AC8" s="255">
        <v>-2248000</v>
      </c>
      <c r="AD8" s="255">
        <v>736000</v>
      </c>
      <c r="AE8" s="255">
        <v>-4735000</v>
      </c>
      <c r="AF8" s="297">
        <v>-6946000</v>
      </c>
      <c r="AG8" s="255">
        <v>-4849000</v>
      </c>
      <c r="AH8" s="255">
        <v>-6431000</v>
      </c>
      <c r="AI8" s="255">
        <v>-6607000</v>
      </c>
      <c r="AJ8" s="255">
        <v>-5070000</v>
      </c>
      <c r="AK8" s="297">
        <v>-22957000</v>
      </c>
      <c r="AL8" s="255">
        <f>-'1.Input IS Trend &amp; EPS'!AZ26</f>
        <v>-4444000</v>
      </c>
      <c r="AM8" s="255">
        <f>-'1.Input IS Trend &amp; EPS'!BA26</f>
        <v>-4197000</v>
      </c>
      <c r="AN8" s="255">
        <f>-'1.Input IS Trend &amp; EPS'!BB26</f>
        <v>-4033000</v>
      </c>
      <c r="AO8" s="255">
        <f>-'1.Input IS Trend &amp; EPS'!BC26</f>
        <v>0</v>
      </c>
      <c r="AP8" s="297">
        <f>SUM(AL8:AO8)</f>
        <v>-12674000</v>
      </c>
    </row>
    <row r="9" spans="1:45" ht="16.649999999999999" customHeight="1" x14ac:dyDescent="0.25">
      <c r="A9" s="50" t="s">
        <v>463</v>
      </c>
      <c r="B9" s="299">
        <v>-131412000</v>
      </c>
      <c r="C9" s="258">
        <v>-39819000</v>
      </c>
      <c r="D9" s="258">
        <v>-38133000</v>
      </c>
      <c r="E9" s="258">
        <v>-27689000</v>
      </c>
      <c r="F9" s="258">
        <v>-27883000</v>
      </c>
      <c r="G9" s="299">
        <v>-133524000</v>
      </c>
      <c r="H9" s="258">
        <v>-29602000</v>
      </c>
      <c r="I9" s="258">
        <v>-38199000</v>
      </c>
      <c r="J9" s="258">
        <v>-48211000</v>
      </c>
      <c r="K9" s="258">
        <v>-82134000</v>
      </c>
      <c r="L9" s="299">
        <v>-198146000</v>
      </c>
      <c r="M9" s="258">
        <v>-48375000</v>
      </c>
      <c r="N9" s="258">
        <v>-50273000</v>
      </c>
      <c r="O9" s="258">
        <v>-41485000</v>
      </c>
      <c r="P9" s="258">
        <v>-40789000</v>
      </c>
      <c r="Q9" s="299">
        <v>-180922000</v>
      </c>
      <c r="R9" s="258">
        <v>-26007000</v>
      </c>
      <c r="S9" s="258">
        <v>-26852000</v>
      </c>
      <c r="T9" s="258">
        <v>-15781000</v>
      </c>
      <c r="U9" s="258">
        <v>-51908000</v>
      </c>
      <c r="V9" s="299">
        <v>-120548000</v>
      </c>
      <c r="W9" s="258">
        <v>-17601000</v>
      </c>
      <c r="X9" s="258">
        <v>-6182000</v>
      </c>
      <c r="Y9" s="258">
        <v>-13786000</v>
      </c>
      <c r="Z9" s="258">
        <v>-27969000</v>
      </c>
      <c r="AA9" s="299">
        <v>-65538000</v>
      </c>
      <c r="AB9" s="258">
        <v>-25602000</v>
      </c>
      <c r="AC9" s="258">
        <v>-29122000</v>
      </c>
      <c r="AD9" s="258">
        <v>-23949000</v>
      </c>
      <c r="AE9" s="258">
        <v>-47127000</v>
      </c>
      <c r="AF9" s="299">
        <v>-125800000</v>
      </c>
      <c r="AG9" s="258">
        <v>2270000</v>
      </c>
      <c r="AH9" s="258">
        <v>8208000</v>
      </c>
      <c r="AI9" s="258">
        <v>15201000</v>
      </c>
      <c r="AJ9" s="258">
        <v>-14275000</v>
      </c>
      <c r="AK9" s="299">
        <v>11404000</v>
      </c>
      <c r="AL9" s="258">
        <f>SUM(AL6:AL8)</f>
        <v>-5248000</v>
      </c>
      <c r="AM9" s="258">
        <f>SUM(AM6:AM8)</f>
        <v>7487000</v>
      </c>
      <c r="AN9" s="258">
        <f>SUM(AN6:AN8)</f>
        <v>14673000</v>
      </c>
      <c r="AO9" s="258">
        <f>SUM(AO6:AO8)</f>
        <v>0</v>
      </c>
      <c r="AP9" s="299">
        <f>SUM(AP6:AP8)</f>
        <v>16912000</v>
      </c>
    </row>
    <row r="10" spans="1:45" ht="16.649999999999999" customHeight="1" x14ac:dyDescent="0.25">
      <c r="A10" s="305" t="s">
        <v>339</v>
      </c>
      <c r="B10" s="297">
        <v>29848000</v>
      </c>
      <c r="C10" s="255">
        <v>9193000</v>
      </c>
      <c r="D10" s="255">
        <v>9765000</v>
      </c>
      <c r="E10" s="255">
        <v>9297000</v>
      </c>
      <c r="F10" s="255">
        <v>9392000</v>
      </c>
      <c r="G10" s="297">
        <v>37647000</v>
      </c>
      <c r="H10" s="255">
        <v>9403000</v>
      </c>
      <c r="I10" s="255">
        <v>7018000</v>
      </c>
      <c r="J10" s="255">
        <v>8853000</v>
      </c>
      <c r="K10" s="255">
        <v>8508000</v>
      </c>
      <c r="L10" s="297">
        <v>33782000</v>
      </c>
      <c r="M10" s="255">
        <v>8877000</v>
      </c>
      <c r="N10" s="255">
        <v>10977000</v>
      </c>
      <c r="O10" s="255">
        <v>8104000</v>
      </c>
      <c r="P10" s="255">
        <v>7943000</v>
      </c>
      <c r="Q10" s="297">
        <v>35901000</v>
      </c>
      <c r="R10" s="255">
        <v>8054000</v>
      </c>
      <c r="S10" s="255">
        <v>6901000</v>
      </c>
      <c r="T10" s="255">
        <v>6509000</v>
      </c>
      <c r="U10" s="255">
        <v>6277000</v>
      </c>
      <c r="V10" s="297">
        <v>27741000</v>
      </c>
      <c r="W10" s="255">
        <v>6585000</v>
      </c>
      <c r="X10" s="255">
        <v>5819000</v>
      </c>
      <c r="Y10" s="255">
        <v>5827000</v>
      </c>
      <c r="Z10" s="255">
        <v>6017000</v>
      </c>
      <c r="AA10" s="297">
        <v>24248000</v>
      </c>
      <c r="AB10" s="255">
        <v>5741000</v>
      </c>
      <c r="AC10" s="255">
        <v>5689000</v>
      </c>
      <c r="AD10" s="255">
        <v>5131000</v>
      </c>
      <c r="AE10" s="255">
        <v>4226000</v>
      </c>
      <c r="AF10" s="297">
        <v>20787000</v>
      </c>
      <c r="AG10" s="255">
        <v>4039000</v>
      </c>
      <c r="AH10" s="255">
        <v>1864000</v>
      </c>
      <c r="AI10" s="255">
        <v>1782000</v>
      </c>
      <c r="AJ10" s="255">
        <v>3823000</v>
      </c>
      <c r="AK10" s="297">
        <v>11508000</v>
      </c>
      <c r="AL10" s="255">
        <f>+'1.Input Cash Flow (wTrend)'!AN12</f>
        <v>4554000</v>
      </c>
      <c r="AM10" s="255">
        <f>+'1.Input Cash Flow (wTrend)'!AO12</f>
        <v>4450000</v>
      </c>
      <c r="AN10" s="255">
        <f>+'1.Input Cash Flow (wTrend)'!AP12</f>
        <v>4400000</v>
      </c>
      <c r="AO10" s="255">
        <f>+'1.Input Cash Flow (wTrend)'!AQ12</f>
        <v>0</v>
      </c>
      <c r="AP10" s="297">
        <f>SUM(AL10:AO10)</f>
        <v>13404000</v>
      </c>
    </row>
    <row r="11" spans="1:45" ht="16.649999999999999" customHeight="1" x14ac:dyDescent="0.25">
      <c r="A11" s="50" t="s">
        <v>474</v>
      </c>
      <c r="B11" s="295">
        <v>-101564000</v>
      </c>
      <c r="C11" s="296">
        <v>-30626000</v>
      </c>
      <c r="D11" s="296">
        <v>-28368000</v>
      </c>
      <c r="E11" s="296">
        <v>-18392000</v>
      </c>
      <c r="F11" s="296">
        <v>-18491000</v>
      </c>
      <c r="G11" s="295">
        <v>-95877000</v>
      </c>
      <c r="H11" s="296">
        <v>-20199000</v>
      </c>
      <c r="I11" s="296">
        <v>-31181000</v>
      </c>
      <c r="J11" s="296">
        <v>-39358000</v>
      </c>
      <c r="K11" s="296">
        <v>-73626000</v>
      </c>
      <c r="L11" s="295">
        <v>-164364000</v>
      </c>
      <c r="M11" s="296">
        <v>-39498000</v>
      </c>
      <c r="N11" s="296">
        <v>-39296000</v>
      </c>
      <c r="O11" s="296">
        <v>-33381000</v>
      </c>
      <c r="P11" s="296">
        <v>-32846000</v>
      </c>
      <c r="Q11" s="295">
        <v>-145021000</v>
      </c>
      <c r="R11" s="296">
        <v>-17953000</v>
      </c>
      <c r="S11" s="296">
        <v>-19951000</v>
      </c>
      <c r="T11" s="296">
        <v>-9272000</v>
      </c>
      <c r="U11" s="296">
        <v>-45631000</v>
      </c>
      <c r="V11" s="295">
        <v>-92807000</v>
      </c>
      <c r="W11" s="296">
        <v>-11016000</v>
      </c>
      <c r="X11" s="296">
        <v>-363000</v>
      </c>
      <c r="Y11" s="296">
        <v>-7959000</v>
      </c>
      <c r="Z11" s="296">
        <v>-21952000</v>
      </c>
      <c r="AA11" s="295">
        <v>-41290000</v>
      </c>
      <c r="AB11" s="296">
        <v>-19861000</v>
      </c>
      <c r="AC11" s="296">
        <v>-23433000</v>
      </c>
      <c r="AD11" s="296">
        <v>-18818000</v>
      </c>
      <c r="AE11" s="296">
        <v>-42901000</v>
      </c>
      <c r="AF11" s="295">
        <v>-105013000</v>
      </c>
      <c r="AG11" s="296">
        <v>6309000</v>
      </c>
      <c r="AH11" s="296">
        <v>10072000</v>
      </c>
      <c r="AI11" s="296">
        <v>16983000</v>
      </c>
      <c r="AJ11" s="296">
        <v>-10452000</v>
      </c>
      <c r="AK11" s="295">
        <v>22912000</v>
      </c>
      <c r="AL11" s="296">
        <f>+AL9+AL10</f>
        <v>-694000</v>
      </c>
      <c r="AM11" s="296">
        <f>+AM9+AM10</f>
        <v>11937000</v>
      </c>
      <c r="AN11" s="296">
        <f>+AN9+AN10</f>
        <v>19073000</v>
      </c>
      <c r="AO11" s="296">
        <f>+AO9+AO10</f>
        <v>0</v>
      </c>
      <c r="AP11" s="295">
        <f>+AP9+AP10</f>
        <v>30316000</v>
      </c>
    </row>
    <row r="12" spans="1:45" ht="15" customHeight="1" x14ac:dyDescent="0.25">
      <c r="B12" s="319"/>
      <c r="G12" s="319"/>
      <c r="L12" s="319"/>
      <c r="Q12" s="319"/>
      <c r="V12" s="319"/>
      <c r="AA12" s="319"/>
      <c r="AF12" s="319"/>
      <c r="AK12" s="319"/>
      <c r="AP12" s="319"/>
    </row>
    <row r="13" spans="1:45" ht="16.649999999999999" customHeight="1" x14ac:dyDescent="0.25">
      <c r="A13" s="303" t="s">
        <v>475</v>
      </c>
      <c r="B13" s="319"/>
      <c r="G13" s="319"/>
      <c r="L13" s="319"/>
      <c r="Q13" s="319"/>
      <c r="V13" s="319"/>
      <c r="AA13" s="319"/>
      <c r="AF13" s="319"/>
      <c r="AK13" s="319"/>
      <c r="AP13" s="319"/>
    </row>
    <row r="14" spans="1:45" ht="16.649999999999999" customHeight="1" x14ac:dyDescent="0.25">
      <c r="A14" s="336" t="s">
        <v>452</v>
      </c>
      <c r="B14" s="315">
        <v>39772000</v>
      </c>
      <c r="C14" s="316">
        <v>12400000</v>
      </c>
      <c r="D14" s="316">
        <v>13154000</v>
      </c>
      <c r="E14" s="316">
        <v>13290000</v>
      </c>
      <c r="F14" s="316">
        <v>14022000</v>
      </c>
      <c r="G14" s="315">
        <v>52866000</v>
      </c>
      <c r="H14" s="316">
        <v>17798000</v>
      </c>
      <c r="I14" s="316">
        <v>17667000</v>
      </c>
      <c r="J14" s="316">
        <v>26082000</v>
      </c>
      <c r="K14" s="316">
        <v>41174000</v>
      </c>
      <c r="L14" s="315">
        <v>102721000</v>
      </c>
      <c r="M14" s="316">
        <v>18630000</v>
      </c>
      <c r="N14" s="316">
        <v>23354000</v>
      </c>
      <c r="O14" s="316">
        <v>30295000</v>
      </c>
      <c r="P14" s="316">
        <v>17168000</v>
      </c>
      <c r="Q14" s="315">
        <v>89447000</v>
      </c>
      <c r="R14" s="316">
        <v>16485000</v>
      </c>
      <c r="S14" s="316">
        <v>24204000</v>
      </c>
      <c r="T14" s="316">
        <v>23894000</v>
      </c>
      <c r="U14" s="316">
        <v>47124000</v>
      </c>
      <c r="V14" s="315">
        <v>111707000</v>
      </c>
      <c r="W14" s="316">
        <v>18496000</v>
      </c>
      <c r="X14" s="316">
        <v>19221000</v>
      </c>
      <c r="Y14" s="316">
        <v>23758000</v>
      </c>
      <c r="Z14" s="316">
        <v>25782000</v>
      </c>
      <c r="AA14" s="315">
        <v>87257000</v>
      </c>
      <c r="AB14" s="316">
        <v>24225000</v>
      </c>
      <c r="AC14" s="316">
        <v>27293000</v>
      </c>
      <c r="AD14" s="316">
        <v>29624000</v>
      </c>
      <c r="AE14" s="316">
        <v>44658000</v>
      </c>
      <c r="AF14" s="315">
        <v>125800000</v>
      </c>
      <c r="AG14" s="316">
        <v>13292000</v>
      </c>
      <c r="AH14" s="316">
        <v>15735000</v>
      </c>
      <c r="AI14" s="316">
        <v>17497000</v>
      </c>
      <c r="AJ14" s="316">
        <v>24780000</v>
      </c>
      <c r="AK14" s="315">
        <v>71304000</v>
      </c>
      <c r="AL14" s="316">
        <f>+'1.Input NG EPS trend'!Z23</f>
        <v>27985000</v>
      </c>
      <c r="AM14" s="316">
        <f>+'1.Input NG EPS trend'!AA23</f>
        <v>29068000</v>
      </c>
      <c r="AN14" s="316">
        <f>+'1.Input NG EPS trend'!AB23</f>
        <v>26760000</v>
      </c>
      <c r="AO14" s="316">
        <f>+'1.Input NG EPS trend'!AC23</f>
        <v>0</v>
      </c>
      <c r="AP14" s="315">
        <f>SUM(AL14:AO14)</f>
        <v>83813000</v>
      </c>
    </row>
    <row r="15" spans="1:45" ht="16.649999999999999" customHeight="1" x14ac:dyDescent="0.25">
      <c r="A15" s="336" t="s">
        <v>476</v>
      </c>
      <c r="B15" s="304">
        <v>4753000</v>
      </c>
      <c r="C15" s="83">
        <v>-3000</v>
      </c>
      <c r="D15" s="83">
        <v>2833000</v>
      </c>
      <c r="E15" s="83">
        <v>-788000</v>
      </c>
      <c r="F15" s="83">
        <v>681000</v>
      </c>
      <c r="G15" s="304">
        <v>2723000</v>
      </c>
      <c r="H15" s="83">
        <v>1000</v>
      </c>
      <c r="I15" s="83">
        <v>489000</v>
      </c>
      <c r="J15" s="83">
        <v>5043000</v>
      </c>
      <c r="K15" s="83">
        <v>14400000</v>
      </c>
      <c r="L15" s="304">
        <v>19933000</v>
      </c>
      <c r="M15" s="83">
        <v>2276000</v>
      </c>
      <c r="N15" s="83">
        <v>45000</v>
      </c>
      <c r="O15" s="83">
        <v>233000</v>
      </c>
      <c r="P15" s="83">
        <v>2447000</v>
      </c>
      <c r="Q15" s="304">
        <v>5001000</v>
      </c>
      <c r="R15" s="83">
        <v>1995000</v>
      </c>
      <c r="S15" s="83">
        <v>-619000</v>
      </c>
      <c r="T15" s="83">
        <v>-6000</v>
      </c>
      <c r="U15" s="83">
        <v>1345000</v>
      </c>
      <c r="V15" s="304">
        <v>2715000</v>
      </c>
      <c r="W15" s="83">
        <v>1278000</v>
      </c>
      <c r="X15" s="83">
        <v>18000</v>
      </c>
      <c r="Y15" s="83">
        <v>0</v>
      </c>
      <c r="Z15" s="83">
        <v>183000</v>
      </c>
      <c r="AA15" s="304">
        <v>1479000</v>
      </c>
      <c r="AB15" s="83">
        <v>739000</v>
      </c>
      <c r="AC15" s="83">
        <v>13111000</v>
      </c>
      <c r="AD15" s="83">
        <v>11743000</v>
      </c>
      <c r="AE15" s="83">
        <v>9723000</v>
      </c>
      <c r="AF15" s="304">
        <v>35316000</v>
      </c>
      <c r="AG15" s="83">
        <v>116000</v>
      </c>
      <c r="AH15" s="83">
        <v>6574000</v>
      </c>
      <c r="AI15" s="83">
        <v>2502000</v>
      </c>
      <c r="AJ15" s="83">
        <v>2516000</v>
      </c>
      <c r="AK15" s="304">
        <v>11708000</v>
      </c>
      <c r="AL15" s="83">
        <f>+'1.Input NG EPS trend'!Z25</f>
        <v>206000</v>
      </c>
      <c r="AM15" s="83">
        <f>+'1.Input NG EPS trend'!AA25</f>
        <v>397000</v>
      </c>
      <c r="AN15" s="83">
        <f>+'1.Input NG EPS trend'!AB25</f>
        <v>149000</v>
      </c>
      <c r="AO15" s="83">
        <f>+'1.Input NG EPS trend'!AC25</f>
        <v>0</v>
      </c>
      <c r="AP15" s="304">
        <f>SUM(AL15:AO15)</f>
        <v>752000</v>
      </c>
    </row>
    <row r="16" spans="1:45" ht="16.649999999999999" customHeight="1" x14ac:dyDescent="0.25">
      <c r="A16" s="337" t="s">
        <v>477</v>
      </c>
      <c r="B16" s="297">
        <v>8639000</v>
      </c>
      <c r="C16" s="255">
        <v>7119000</v>
      </c>
      <c r="D16" s="255">
        <v>5453000</v>
      </c>
      <c r="E16" s="255">
        <v>5214000</v>
      </c>
      <c r="F16" s="255">
        <v>0</v>
      </c>
      <c r="G16" s="297">
        <v>17786000</v>
      </c>
      <c r="H16" s="255">
        <v>0</v>
      </c>
      <c r="I16" s="255">
        <v>2122000</v>
      </c>
      <c r="J16" s="255">
        <v>700000</v>
      </c>
      <c r="K16" s="255">
        <v>-705000</v>
      </c>
      <c r="L16" s="297">
        <v>2117000</v>
      </c>
      <c r="M16" s="255">
        <v>0</v>
      </c>
      <c r="N16" s="255">
        <v>0</v>
      </c>
      <c r="O16" s="255">
        <v>0</v>
      </c>
      <c r="P16" s="255">
        <v>0</v>
      </c>
      <c r="Q16" s="297">
        <v>0</v>
      </c>
      <c r="R16" s="255">
        <v>3605000</v>
      </c>
      <c r="S16" s="255">
        <v>258000</v>
      </c>
      <c r="T16" s="255">
        <v>0</v>
      </c>
      <c r="U16" s="255">
        <v>0</v>
      </c>
      <c r="V16" s="297">
        <v>3863000</v>
      </c>
      <c r="W16" s="255">
        <v>0</v>
      </c>
      <c r="X16" s="255">
        <v>0</v>
      </c>
      <c r="Y16" s="255">
        <v>0</v>
      </c>
      <c r="Z16" s="255">
        <v>0</v>
      </c>
      <c r="AA16" s="297">
        <v>0</v>
      </c>
      <c r="AB16" s="255">
        <v>0</v>
      </c>
      <c r="AC16" s="255">
        <v>1250000</v>
      </c>
      <c r="AD16" s="255">
        <v>4112000</v>
      </c>
      <c r="AE16" s="255">
        <v>3663000</v>
      </c>
      <c r="AF16" s="297">
        <v>9025000</v>
      </c>
      <c r="AG16" s="255">
        <v>1875000</v>
      </c>
      <c r="AH16" s="255">
        <v>0</v>
      </c>
      <c r="AI16" s="255">
        <v>0</v>
      </c>
      <c r="AJ16" s="255">
        <v>0</v>
      </c>
      <c r="AK16" s="297">
        <v>1875000</v>
      </c>
      <c r="AL16" s="255">
        <f>+'1.Input NG EPS trend'!Z26</f>
        <v>0</v>
      </c>
      <c r="AM16" s="255">
        <f>+'1.Input NG EPS trend'!AA26</f>
        <v>0</v>
      </c>
      <c r="AN16" s="255">
        <f>+'1.Input NG EPS trend'!AB26</f>
        <v>0</v>
      </c>
      <c r="AO16" s="255">
        <f>+'1.Input NG EPS trend'!AC26</f>
        <v>0</v>
      </c>
      <c r="AP16" s="297">
        <f>SUM(AL16:AO16)</f>
        <v>0</v>
      </c>
    </row>
    <row r="17" spans="1:42" ht="16.649999999999999" customHeight="1" x14ac:dyDescent="0.25">
      <c r="A17" s="50" t="s">
        <v>478</v>
      </c>
      <c r="B17" s="295">
        <v>-48400000</v>
      </c>
      <c r="C17" s="296">
        <v>-11110000</v>
      </c>
      <c r="D17" s="296">
        <v>-6928000</v>
      </c>
      <c r="E17" s="296">
        <v>-676000</v>
      </c>
      <c r="F17" s="296">
        <v>-3787000</v>
      </c>
      <c r="G17" s="295">
        <v>-22502000</v>
      </c>
      <c r="H17" s="296">
        <v>-2400000</v>
      </c>
      <c r="I17" s="296">
        <v>-10903000</v>
      </c>
      <c r="J17" s="296">
        <v>-7533000</v>
      </c>
      <c r="K17" s="296">
        <v>-18756000</v>
      </c>
      <c r="L17" s="295">
        <v>-39593000</v>
      </c>
      <c r="M17" s="296">
        <v>-18592000</v>
      </c>
      <c r="N17" s="296">
        <v>-15897000</v>
      </c>
      <c r="O17" s="296">
        <v>-2853000</v>
      </c>
      <c r="P17" s="296">
        <v>-13231000</v>
      </c>
      <c r="Q17" s="295">
        <v>-50573000</v>
      </c>
      <c r="R17" s="296">
        <v>4132000</v>
      </c>
      <c r="S17" s="296">
        <v>3892000</v>
      </c>
      <c r="T17" s="296">
        <v>14616000</v>
      </c>
      <c r="U17" s="296">
        <v>2838000</v>
      </c>
      <c r="V17" s="295">
        <v>25478000</v>
      </c>
      <c r="W17" s="296">
        <v>8758000</v>
      </c>
      <c r="X17" s="296">
        <v>18876000</v>
      </c>
      <c r="Y17" s="296">
        <v>15799000</v>
      </c>
      <c r="Z17" s="296">
        <v>4013000</v>
      </c>
      <c r="AA17" s="295">
        <v>47446000</v>
      </c>
      <c r="AB17" s="296">
        <v>5103000</v>
      </c>
      <c r="AC17" s="296">
        <v>18221000</v>
      </c>
      <c r="AD17" s="296">
        <v>26661000</v>
      </c>
      <c r="AE17" s="296">
        <v>15143000</v>
      </c>
      <c r="AF17" s="295">
        <v>65128000</v>
      </c>
      <c r="AG17" s="296">
        <v>21592000</v>
      </c>
      <c r="AH17" s="296">
        <v>32381000</v>
      </c>
      <c r="AI17" s="296">
        <v>36982000</v>
      </c>
      <c r="AJ17" s="296">
        <v>16844000</v>
      </c>
      <c r="AK17" s="295">
        <v>107799000</v>
      </c>
      <c r="AL17" s="296">
        <f>SUM(AL11:AL16)</f>
        <v>27497000</v>
      </c>
      <c r="AM17" s="296">
        <f>SUM(AM11:AM16)</f>
        <v>41402000</v>
      </c>
      <c r="AN17" s="296">
        <f>SUM(AN11:AN16)</f>
        <v>45982000</v>
      </c>
      <c r="AO17" s="296">
        <f>SUM(AO11:AO16)</f>
        <v>0</v>
      </c>
      <c r="AP17" s="295">
        <f>SUM(AP11:AP16)</f>
        <v>114881000</v>
      </c>
    </row>
    <row r="18" spans="1:42" ht="15" customHeight="1" x14ac:dyDescent="0.25"/>
    <row r="19" spans="1:42" ht="15" customHeight="1" x14ac:dyDescent="0.25"/>
    <row r="20" spans="1:42" ht="15" customHeight="1" x14ac:dyDescent="0.25"/>
  </sheetData>
  <pageMargins left="0.25" right="0.25" top="0.75" bottom="0.75" header="0.3" footer="0.3"/>
  <pageSetup scale="55"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Q26"/>
  <sheetViews>
    <sheetView zoomScale="90" zoomScaleNormal="90" workbookViewId="0">
      <pane xSplit="1" ySplit="4" topLeftCell="AC5" activePane="bottomRight" state="frozen"/>
      <selection pane="topRight"/>
      <selection pane="bottomLeft"/>
      <selection pane="bottomRight" activeCell="AN1" sqref="AN1"/>
    </sheetView>
  </sheetViews>
  <sheetFormatPr defaultColWidth="13.08984375" defaultRowHeight="12.5" outlineLevelCol="1" x14ac:dyDescent="0.25"/>
  <cols>
    <col min="1" max="1" width="41.26953125" customWidth="1"/>
    <col min="2" max="16" width="12.90625" hidden="1" customWidth="1" outlineLevel="1"/>
    <col min="17" max="17" width="12.90625" customWidth="1" collapsed="1"/>
    <col min="18" max="21" width="12.90625" hidden="1" customWidth="1" outlineLevel="1"/>
    <col min="22" max="22" width="12.90625" customWidth="1" collapsed="1"/>
    <col min="23" max="26" width="12.90625" hidden="1" customWidth="1" outlineLevel="1"/>
    <col min="27" max="27" width="12.90625" customWidth="1" collapsed="1"/>
    <col min="28" max="40" width="12.90625" customWidth="1"/>
    <col min="41" max="42" width="12.90625" hidden="1" customWidth="1"/>
    <col min="43" max="44" width="9.08984375" customWidth="1"/>
  </cols>
  <sheetData>
    <row r="1" spans="1:43" ht="33.25" customHeight="1" x14ac:dyDescent="0.25">
      <c r="A1" s="66"/>
    </row>
    <row r="2" spans="1:43" ht="15" customHeight="1" x14ac:dyDescent="0.3">
      <c r="A2" s="325" t="s">
        <v>479</v>
      </c>
    </row>
    <row r="3" spans="1:43" ht="15" customHeight="1" x14ac:dyDescent="0.25">
      <c r="A3" s="326" t="s">
        <v>480</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row>
    <row r="4" spans="1:43" ht="15" customHeight="1" x14ac:dyDescent="0.3">
      <c r="B4" s="185" t="s">
        <v>223</v>
      </c>
      <c r="C4" s="186" t="s">
        <v>224</v>
      </c>
      <c r="D4" s="186" t="s">
        <v>225</v>
      </c>
      <c r="E4" s="186" t="s">
        <v>226</v>
      </c>
      <c r="F4" s="186" t="s">
        <v>227</v>
      </c>
      <c r="G4" s="185" t="s">
        <v>228</v>
      </c>
      <c r="H4" s="186" t="s">
        <v>229</v>
      </c>
      <c r="I4" s="186" t="s">
        <v>230</v>
      </c>
      <c r="J4" s="186" t="s">
        <v>231</v>
      </c>
      <c r="K4" s="186" t="s">
        <v>232</v>
      </c>
      <c r="L4" s="185" t="s">
        <v>233</v>
      </c>
      <c r="M4" s="186" t="s">
        <v>234</v>
      </c>
      <c r="N4" s="186" t="s">
        <v>235</v>
      </c>
      <c r="O4" s="186" t="s">
        <v>236</v>
      </c>
      <c r="P4" s="186" t="s">
        <v>237</v>
      </c>
      <c r="Q4" s="185" t="s">
        <v>238</v>
      </c>
      <c r="R4" s="186" t="s">
        <v>239</v>
      </c>
      <c r="S4" s="186" t="s">
        <v>240</v>
      </c>
      <c r="T4" s="186" t="s">
        <v>241</v>
      </c>
      <c r="U4" s="186" t="s">
        <v>242</v>
      </c>
      <c r="V4" s="185" t="s">
        <v>243</v>
      </c>
      <c r="W4" s="186" t="s">
        <v>244</v>
      </c>
      <c r="X4" s="186" t="s">
        <v>245</v>
      </c>
      <c r="Y4" s="186" t="s">
        <v>246</v>
      </c>
      <c r="Z4" s="186" t="s">
        <v>247</v>
      </c>
      <c r="AA4" s="185" t="s">
        <v>248</v>
      </c>
      <c r="AB4" s="186" t="s">
        <v>249</v>
      </c>
      <c r="AC4" s="186" t="s">
        <v>250</v>
      </c>
      <c r="AD4" s="186" t="s">
        <v>251</v>
      </c>
      <c r="AE4" s="186" t="s">
        <v>252</v>
      </c>
      <c r="AF4" s="185" t="s">
        <v>253</v>
      </c>
      <c r="AG4" s="186" t="s">
        <v>254</v>
      </c>
      <c r="AH4" s="186" t="s">
        <v>255</v>
      </c>
      <c r="AI4" s="186" t="s">
        <v>256</v>
      </c>
      <c r="AJ4" s="186" t="s">
        <v>257</v>
      </c>
      <c r="AK4" s="185" t="s">
        <v>258</v>
      </c>
      <c r="AL4" s="186" t="s">
        <v>259</v>
      </c>
      <c r="AM4" s="186" t="s">
        <v>260</v>
      </c>
      <c r="AN4" s="186" t="s">
        <v>261</v>
      </c>
      <c r="AO4" s="186" t="s">
        <v>262</v>
      </c>
      <c r="AP4" s="185" t="s">
        <v>263</v>
      </c>
    </row>
    <row r="5" spans="1:43" ht="15" customHeight="1" x14ac:dyDescent="0.3">
      <c r="A5" s="2" t="s">
        <v>481</v>
      </c>
      <c r="B5" s="347"/>
      <c r="C5" s="348"/>
      <c r="D5" s="348"/>
      <c r="E5" s="348"/>
      <c r="F5" s="348"/>
      <c r="G5" s="347"/>
      <c r="H5" s="348"/>
      <c r="I5" s="348"/>
      <c r="J5" s="348"/>
      <c r="K5" s="348"/>
      <c r="L5" s="347"/>
      <c r="M5" s="348"/>
      <c r="N5" s="348"/>
      <c r="O5" s="348"/>
      <c r="P5" s="348"/>
      <c r="Q5" s="347"/>
      <c r="R5" s="348"/>
      <c r="S5" s="348"/>
      <c r="T5" s="348"/>
      <c r="U5" s="348"/>
      <c r="V5" s="347"/>
      <c r="W5" s="348"/>
      <c r="X5" s="348"/>
      <c r="Y5" s="348"/>
      <c r="Z5" s="348"/>
      <c r="AA5" s="347"/>
      <c r="AB5" s="348"/>
      <c r="AC5" s="348"/>
      <c r="AD5" s="348"/>
      <c r="AE5" s="348"/>
      <c r="AF5" s="347"/>
      <c r="AG5" s="348"/>
      <c r="AH5" s="348"/>
      <c r="AI5" s="348"/>
      <c r="AJ5" s="348"/>
      <c r="AK5" s="347"/>
      <c r="AL5" s="348"/>
      <c r="AM5" s="348"/>
      <c r="AN5" s="348"/>
      <c r="AO5" s="348"/>
      <c r="AP5" s="347"/>
    </row>
    <row r="6" spans="1:43" ht="15" customHeight="1" x14ac:dyDescent="0.25">
      <c r="A6" s="81" t="s">
        <v>482</v>
      </c>
      <c r="B6" s="315">
        <v>114531000</v>
      </c>
      <c r="C6" s="316">
        <v>37077000</v>
      </c>
      <c r="D6" s="316">
        <v>42292000</v>
      </c>
      <c r="E6" s="316">
        <v>45789000</v>
      </c>
      <c r="F6" s="316">
        <v>46897000</v>
      </c>
      <c r="G6" s="315">
        <f>SUM(C6:F6)</f>
        <v>172055000</v>
      </c>
      <c r="H6" s="316">
        <v>51329000</v>
      </c>
      <c r="I6" s="316">
        <v>54853000</v>
      </c>
      <c r="J6" s="316">
        <v>65003000</v>
      </c>
      <c r="K6" s="316">
        <v>65534000</v>
      </c>
      <c r="L6" s="315">
        <f>SUM(H6:K6)</f>
        <v>236719000</v>
      </c>
      <c r="M6" s="316">
        <v>68326000</v>
      </c>
      <c r="N6" s="316">
        <v>71967000</v>
      </c>
      <c r="O6" s="316">
        <v>81554000</v>
      </c>
      <c r="P6" s="316">
        <v>83832000</v>
      </c>
      <c r="Q6" s="315">
        <f>SUM(M6:P6)</f>
        <v>305679000</v>
      </c>
      <c r="R6" s="316">
        <v>82915000</v>
      </c>
      <c r="S6" s="316">
        <v>85784000</v>
      </c>
      <c r="T6" s="316">
        <v>93431000</v>
      </c>
      <c r="U6" s="316">
        <v>94467000</v>
      </c>
      <c r="V6" s="315">
        <f>SUM(R6:U6)</f>
        <v>356597000</v>
      </c>
      <c r="W6" s="316">
        <v>96510000</v>
      </c>
      <c r="X6" s="316">
        <v>105420000</v>
      </c>
      <c r="Y6" s="316">
        <v>111115000</v>
      </c>
      <c r="Z6" s="316">
        <v>115572000</v>
      </c>
      <c r="AA6" s="315">
        <f>SUM(W6:Z6)</f>
        <v>428617000</v>
      </c>
      <c r="AB6" s="316">
        <v>115733000</v>
      </c>
      <c r="AC6" s="316">
        <v>119702000</v>
      </c>
      <c r="AD6" s="316">
        <v>126427000</v>
      </c>
      <c r="AE6" s="316">
        <v>120945000</v>
      </c>
      <c r="AF6" s="315">
        <f>SUM(AB6:AE6)</f>
        <v>482807000</v>
      </c>
      <c r="AG6" s="316">
        <v>121882000</v>
      </c>
      <c r="AH6" s="316">
        <v>125705000</v>
      </c>
      <c r="AI6" s="316">
        <v>132351000</v>
      </c>
      <c r="AJ6" s="316">
        <v>133703000</v>
      </c>
      <c r="AK6" s="315">
        <f>SUM(AG6:AJ6)</f>
        <v>513641000</v>
      </c>
      <c r="AL6" s="316">
        <f>+'1.Input IS Trend &amp; EPS'!AZ56</f>
        <v>134793000</v>
      </c>
      <c r="AM6" s="316">
        <f>+'1.Input IS Trend &amp; EPS'!BA56</f>
        <v>143289000</v>
      </c>
      <c r="AN6" s="316">
        <f>+'1.Input IS Trend &amp; EPS'!BB56</f>
        <v>145585000</v>
      </c>
      <c r="AO6" s="316">
        <f>+'1.Input IS Trend &amp; EPS'!BC56</f>
        <v>0</v>
      </c>
      <c r="AP6" s="315">
        <f>SUM(AL6:AO6)</f>
        <v>423667000</v>
      </c>
    </row>
    <row r="7" spans="1:43" ht="15" customHeight="1" x14ac:dyDescent="0.25">
      <c r="A7" s="338" t="s">
        <v>483</v>
      </c>
      <c r="B7" s="297">
        <v>60229000</v>
      </c>
      <c r="C7" s="255">
        <v>9680000</v>
      </c>
      <c r="D7" s="255">
        <v>11721000</v>
      </c>
      <c r="E7" s="255">
        <v>13332000</v>
      </c>
      <c r="F7" s="255">
        <v>13313000</v>
      </c>
      <c r="G7" s="297">
        <f>SUM(C7:F7)</f>
        <v>48046000</v>
      </c>
      <c r="H7" s="255">
        <v>11142000</v>
      </c>
      <c r="I7" s="255">
        <v>9959000</v>
      </c>
      <c r="J7" s="255">
        <v>15018000</v>
      </c>
      <c r="K7" s="255">
        <v>12782000</v>
      </c>
      <c r="L7" s="297">
        <f>SUM(H7:K7)</f>
        <v>48901000</v>
      </c>
      <c r="M7" s="255">
        <v>14185000</v>
      </c>
      <c r="N7" s="255">
        <v>18176000</v>
      </c>
      <c r="O7" s="255">
        <v>20663000</v>
      </c>
      <c r="P7" s="255">
        <v>21869000</v>
      </c>
      <c r="Q7" s="297">
        <f>SUM(M7:P7)</f>
        <v>74893000</v>
      </c>
      <c r="R7" s="255">
        <v>16522000</v>
      </c>
      <c r="S7" s="255">
        <v>18877000</v>
      </c>
      <c r="T7" s="255">
        <v>26322000</v>
      </c>
      <c r="U7" s="255">
        <v>24708000</v>
      </c>
      <c r="V7" s="297">
        <f>SUM(R7:U7)</f>
        <v>86429000</v>
      </c>
      <c r="W7" s="255">
        <v>22528000</v>
      </c>
      <c r="X7" s="255">
        <v>21870000</v>
      </c>
      <c r="Y7" s="255">
        <v>29488000</v>
      </c>
      <c r="Z7" s="255">
        <v>26154000</v>
      </c>
      <c r="AA7" s="297">
        <f>SUM(W7:Z7)</f>
        <v>100040000</v>
      </c>
      <c r="AB7" s="255">
        <v>26510000</v>
      </c>
      <c r="AC7" s="255">
        <v>27397000</v>
      </c>
      <c r="AD7" s="255">
        <v>32188000</v>
      </c>
      <c r="AE7" s="255">
        <v>27681000</v>
      </c>
      <c r="AF7" s="297">
        <f>SUM(AB7:AE7)</f>
        <v>113776000</v>
      </c>
      <c r="AG7" s="255">
        <v>32187000</v>
      </c>
      <c r="AH7" s="255">
        <v>34166000</v>
      </c>
      <c r="AI7" s="255">
        <v>41518000</v>
      </c>
      <c r="AJ7" s="255">
        <v>38149000</v>
      </c>
      <c r="AK7" s="297">
        <f>SUM(AG7:AJ7)</f>
        <v>146020000</v>
      </c>
      <c r="AL7" s="255">
        <f>+'1.Input IS Trend &amp; EPS'!AZ57</f>
        <v>41168000</v>
      </c>
      <c r="AM7" s="255">
        <f>+'1.Input IS Trend &amp; EPS'!BA57</f>
        <v>42194000</v>
      </c>
      <c r="AN7" s="255">
        <f>+'1.Input IS Trend &amp; EPS'!BB57</f>
        <v>49827000</v>
      </c>
      <c r="AO7" s="255">
        <f>+'1.Input IS Trend &amp; EPS'!BC57</f>
        <v>0</v>
      </c>
      <c r="AP7" s="297">
        <f>SUM(AL7:AO7)</f>
        <v>133189000</v>
      </c>
    </row>
    <row r="8" spans="1:43" ht="15" customHeight="1" x14ac:dyDescent="0.3">
      <c r="A8" s="44" t="s">
        <v>208</v>
      </c>
      <c r="B8" s="333">
        <f t="shared" ref="B8:AP8" si="0">SUM(B6:B7)</f>
        <v>174760000</v>
      </c>
      <c r="C8" s="334">
        <f t="shared" si="0"/>
        <v>46757000</v>
      </c>
      <c r="D8" s="334">
        <f t="shared" si="0"/>
        <v>54013000</v>
      </c>
      <c r="E8" s="334">
        <f t="shared" si="0"/>
        <v>59121000</v>
      </c>
      <c r="F8" s="334">
        <f t="shared" si="0"/>
        <v>60210000</v>
      </c>
      <c r="G8" s="333">
        <f t="shared" si="0"/>
        <v>220101000</v>
      </c>
      <c r="H8" s="334">
        <f t="shared" si="0"/>
        <v>62471000</v>
      </c>
      <c r="I8" s="334">
        <f t="shared" si="0"/>
        <v>64812000</v>
      </c>
      <c r="J8" s="334">
        <f t="shared" si="0"/>
        <v>80021000</v>
      </c>
      <c r="K8" s="334">
        <f t="shared" si="0"/>
        <v>78316000</v>
      </c>
      <c r="L8" s="333">
        <f t="shared" si="0"/>
        <v>285620000</v>
      </c>
      <c r="M8" s="334">
        <f t="shared" si="0"/>
        <v>82511000</v>
      </c>
      <c r="N8" s="334">
        <f t="shared" si="0"/>
        <v>90143000</v>
      </c>
      <c r="O8" s="334">
        <f t="shared" si="0"/>
        <v>102217000</v>
      </c>
      <c r="P8" s="334">
        <f t="shared" si="0"/>
        <v>105701000</v>
      </c>
      <c r="Q8" s="333">
        <f t="shared" si="0"/>
        <v>380572000</v>
      </c>
      <c r="R8" s="334">
        <f t="shared" si="0"/>
        <v>99437000</v>
      </c>
      <c r="S8" s="334">
        <f t="shared" si="0"/>
        <v>104661000</v>
      </c>
      <c r="T8" s="334">
        <f t="shared" si="0"/>
        <v>119753000</v>
      </c>
      <c r="U8" s="334">
        <f t="shared" si="0"/>
        <v>119175000</v>
      </c>
      <c r="V8" s="333">
        <f t="shared" si="0"/>
        <v>443026000</v>
      </c>
      <c r="W8" s="334">
        <f t="shared" si="0"/>
        <v>119038000</v>
      </c>
      <c r="X8" s="334">
        <f t="shared" si="0"/>
        <v>127290000</v>
      </c>
      <c r="Y8" s="334">
        <f t="shared" si="0"/>
        <v>140603000</v>
      </c>
      <c r="Z8" s="334">
        <f t="shared" si="0"/>
        <v>141726000</v>
      </c>
      <c r="AA8" s="333">
        <f t="shared" si="0"/>
        <v>528657000</v>
      </c>
      <c r="AB8" s="334">
        <f t="shared" si="0"/>
        <v>142243000</v>
      </c>
      <c r="AC8" s="334">
        <f t="shared" si="0"/>
        <v>147099000</v>
      </c>
      <c r="AD8" s="334">
        <f t="shared" si="0"/>
        <v>158615000</v>
      </c>
      <c r="AE8" s="334">
        <f t="shared" si="0"/>
        <v>148626000</v>
      </c>
      <c r="AF8" s="333">
        <f t="shared" si="0"/>
        <v>596583000</v>
      </c>
      <c r="AG8" s="334">
        <f t="shared" si="0"/>
        <v>154069000</v>
      </c>
      <c r="AH8" s="334">
        <f t="shared" si="0"/>
        <v>159871000</v>
      </c>
      <c r="AI8" s="334">
        <f t="shared" si="0"/>
        <v>173869000</v>
      </c>
      <c r="AJ8" s="334">
        <f t="shared" si="0"/>
        <v>171852000</v>
      </c>
      <c r="AK8" s="333">
        <f t="shared" si="0"/>
        <v>659661000</v>
      </c>
      <c r="AL8" s="334">
        <f t="shared" si="0"/>
        <v>175961000</v>
      </c>
      <c r="AM8" s="334">
        <f t="shared" si="0"/>
        <v>185483000</v>
      </c>
      <c r="AN8" s="334">
        <f t="shared" si="0"/>
        <v>195412000</v>
      </c>
      <c r="AO8" s="334">
        <f t="shared" si="0"/>
        <v>0</v>
      </c>
      <c r="AP8" s="333">
        <f t="shared" si="0"/>
        <v>556856000</v>
      </c>
    </row>
    <row r="9" spans="1:43" ht="15" customHeight="1" x14ac:dyDescent="0.25">
      <c r="B9" s="319"/>
      <c r="G9" s="319"/>
      <c r="L9" s="319"/>
      <c r="Q9" s="319"/>
      <c r="V9" s="319"/>
      <c r="AA9" s="319"/>
      <c r="AF9" s="319"/>
      <c r="AK9" s="319"/>
      <c r="AP9" s="319"/>
    </row>
    <row r="10" spans="1:43" ht="15" customHeight="1" x14ac:dyDescent="0.3">
      <c r="A10" s="2" t="s">
        <v>484</v>
      </c>
      <c r="B10" s="349"/>
      <c r="G10" s="349"/>
      <c r="L10" s="349"/>
      <c r="Q10" s="349"/>
      <c r="V10" s="349"/>
      <c r="AA10" s="349"/>
      <c r="AF10" s="349"/>
      <c r="AK10" s="349"/>
      <c r="AP10" s="349"/>
    </row>
    <row r="11" spans="1:43" ht="15" customHeight="1" x14ac:dyDescent="0.25">
      <c r="A11" s="81" t="s">
        <v>485</v>
      </c>
      <c r="B11" s="315">
        <v>162231000</v>
      </c>
      <c r="C11" s="316">
        <v>42117000</v>
      </c>
      <c r="D11" s="316">
        <v>49153000</v>
      </c>
      <c r="E11" s="316">
        <v>52666000</v>
      </c>
      <c r="F11" s="316">
        <v>53677000</v>
      </c>
      <c r="G11" s="315">
        <f>SUM(C11:F11)</f>
        <v>197613000</v>
      </c>
      <c r="H11" s="316">
        <v>56222000</v>
      </c>
      <c r="I11" s="316">
        <v>59959000</v>
      </c>
      <c r="J11" s="316">
        <v>73811000</v>
      </c>
      <c r="K11" s="316">
        <v>72143000</v>
      </c>
      <c r="L11" s="315">
        <f>SUM(H11:K11)</f>
        <v>262135000</v>
      </c>
      <c r="M11" s="316">
        <v>76541000</v>
      </c>
      <c r="N11" s="316">
        <v>83907000</v>
      </c>
      <c r="O11" s="316">
        <v>95447000</v>
      </c>
      <c r="P11" s="316">
        <v>98542000</v>
      </c>
      <c r="Q11" s="315">
        <f>SUM(M11:P11)</f>
        <v>354437000</v>
      </c>
      <c r="R11" s="316">
        <v>93382000</v>
      </c>
      <c r="S11" s="316">
        <v>98105000</v>
      </c>
      <c r="T11" s="316">
        <v>112406000</v>
      </c>
      <c r="U11" s="316">
        <v>112082000</v>
      </c>
      <c r="V11" s="315">
        <f>SUM(R11:U11)</f>
        <v>415975000</v>
      </c>
      <c r="W11" s="316">
        <v>111670000</v>
      </c>
      <c r="X11" s="316">
        <v>119630000</v>
      </c>
      <c r="Y11" s="316">
        <v>132146000</v>
      </c>
      <c r="Z11" s="316">
        <v>132319000</v>
      </c>
      <c r="AA11" s="315">
        <f>SUM(W11:Z11)</f>
        <v>495765000</v>
      </c>
      <c r="AB11" s="316">
        <v>132069000</v>
      </c>
      <c r="AC11" s="316">
        <v>137445000</v>
      </c>
      <c r="AD11" s="316">
        <v>147871000</v>
      </c>
      <c r="AE11" s="316">
        <v>138833000</v>
      </c>
      <c r="AF11" s="315">
        <f>SUM(AB11:AE11)</f>
        <v>556218000</v>
      </c>
      <c r="AG11" s="316">
        <v>144166000</v>
      </c>
      <c r="AH11" s="316">
        <v>149403000</v>
      </c>
      <c r="AI11" s="316">
        <v>163082000</v>
      </c>
      <c r="AJ11" s="316">
        <v>161875000</v>
      </c>
      <c r="AK11" s="315">
        <f>SUM(AG11:AJ11)</f>
        <v>618526000</v>
      </c>
      <c r="AL11" s="316">
        <f>+'1.Input IS Trend &amp; EPS'!AZ61</f>
        <v>166319000</v>
      </c>
      <c r="AM11" s="316">
        <f>+'1.Input IS Trend &amp; EPS'!BA61</f>
        <v>175168000</v>
      </c>
      <c r="AN11" s="316">
        <f>+'1.Input IS Trend &amp; EPS'!BB61</f>
        <v>184982000</v>
      </c>
      <c r="AO11" s="316">
        <f>+'1.Input IS Trend &amp; EPS'!BC61</f>
        <v>0</v>
      </c>
      <c r="AP11" s="315">
        <f>SUM(AL11:AO11)</f>
        <v>526469000</v>
      </c>
    </row>
    <row r="12" spans="1:43" ht="15" customHeight="1" x14ac:dyDescent="0.25">
      <c r="A12" s="338" t="s">
        <v>486</v>
      </c>
      <c r="B12" s="297">
        <v>12529000</v>
      </c>
      <c r="C12" s="255">
        <v>4640000</v>
      </c>
      <c r="D12" s="255">
        <v>4860000</v>
      </c>
      <c r="E12" s="255">
        <v>6455000</v>
      </c>
      <c r="F12" s="255">
        <v>6533000</v>
      </c>
      <c r="G12" s="297">
        <f>SUM(C12:F12)</f>
        <v>22488000</v>
      </c>
      <c r="H12" s="255">
        <v>6249000</v>
      </c>
      <c r="I12" s="255">
        <v>4853000</v>
      </c>
      <c r="J12" s="255">
        <v>6210000</v>
      </c>
      <c r="K12" s="255">
        <v>6173000</v>
      </c>
      <c r="L12" s="297">
        <f>SUM(H12:K12)</f>
        <v>23485000</v>
      </c>
      <c r="M12" s="255">
        <v>5970000</v>
      </c>
      <c r="N12" s="255">
        <v>6236000</v>
      </c>
      <c r="O12" s="255">
        <v>6770000</v>
      </c>
      <c r="P12" s="255">
        <v>7159000</v>
      </c>
      <c r="Q12" s="297">
        <f>SUM(M12:P12)</f>
        <v>26135000</v>
      </c>
      <c r="R12" s="255">
        <v>6055000</v>
      </c>
      <c r="S12" s="255">
        <v>6556000</v>
      </c>
      <c r="T12" s="255">
        <v>7347000</v>
      </c>
      <c r="U12" s="255">
        <v>7093000</v>
      </c>
      <c r="V12" s="297">
        <f>SUM(R12:U12)</f>
        <v>27051000</v>
      </c>
      <c r="W12" s="255">
        <v>7368000</v>
      </c>
      <c r="X12" s="255">
        <v>7660000</v>
      </c>
      <c r="Y12" s="255">
        <v>8457000</v>
      </c>
      <c r="Z12" s="255">
        <v>9407000</v>
      </c>
      <c r="AA12" s="297">
        <f>SUM(W12:Z12)</f>
        <v>32892000</v>
      </c>
      <c r="AB12" s="255">
        <v>10174000</v>
      </c>
      <c r="AC12" s="255">
        <v>9654000</v>
      </c>
      <c r="AD12" s="255">
        <v>10744000</v>
      </c>
      <c r="AE12" s="255">
        <v>9793000</v>
      </c>
      <c r="AF12" s="297">
        <f>SUM(AB12:AE12)</f>
        <v>40365000</v>
      </c>
      <c r="AG12" s="255">
        <v>9903000</v>
      </c>
      <c r="AH12" s="255">
        <v>10468000</v>
      </c>
      <c r="AI12" s="255">
        <v>10787000</v>
      </c>
      <c r="AJ12" s="255">
        <v>9977000</v>
      </c>
      <c r="AK12" s="297">
        <f>SUM(AG12:AJ12)</f>
        <v>41135000</v>
      </c>
      <c r="AL12" s="255">
        <f>+'1.Input IS Trend &amp; EPS'!AZ62+'1.Input IS Trend &amp; EPS'!AZ63+'1.Input IS Trend &amp; EPS'!AZ64</f>
        <v>9642000</v>
      </c>
      <c r="AM12" s="255">
        <f>+'1.Input IS Trend &amp; EPS'!BA62+'1.Input IS Trend &amp; EPS'!BA63+'1.Input IS Trend &amp; EPS'!BA64</f>
        <v>10315000</v>
      </c>
      <c r="AN12" s="255">
        <f>+'1.Input IS Trend &amp; EPS'!BB62+'1.Input IS Trend &amp; EPS'!BB63+'1.Input IS Trend &amp; EPS'!BB64</f>
        <v>10430000</v>
      </c>
      <c r="AO12" s="255">
        <f>+'1.Input IS Trend &amp; EPS'!BC62+'1.Input IS Trend &amp; EPS'!BC63+'1.Input IS Trend &amp; EPS'!BC64</f>
        <v>0</v>
      </c>
      <c r="AP12" s="297">
        <f>SUM(AL12:AO12)</f>
        <v>30387000</v>
      </c>
    </row>
    <row r="13" spans="1:43" ht="15" customHeight="1" x14ac:dyDescent="0.3">
      <c r="A13" s="44" t="s">
        <v>208</v>
      </c>
      <c r="B13" s="333">
        <f t="shared" ref="B13:AP13" si="1">SUM(B11:B12)</f>
        <v>174760000</v>
      </c>
      <c r="C13" s="334">
        <f t="shared" si="1"/>
        <v>46757000</v>
      </c>
      <c r="D13" s="334">
        <f t="shared" si="1"/>
        <v>54013000</v>
      </c>
      <c r="E13" s="334">
        <f t="shared" si="1"/>
        <v>59121000</v>
      </c>
      <c r="F13" s="334">
        <f t="shared" si="1"/>
        <v>60210000</v>
      </c>
      <c r="G13" s="333">
        <f t="shared" si="1"/>
        <v>220101000</v>
      </c>
      <c r="H13" s="334">
        <f t="shared" si="1"/>
        <v>62471000</v>
      </c>
      <c r="I13" s="334">
        <f t="shared" si="1"/>
        <v>64812000</v>
      </c>
      <c r="J13" s="334">
        <f t="shared" si="1"/>
        <v>80021000</v>
      </c>
      <c r="K13" s="334">
        <f t="shared" si="1"/>
        <v>78316000</v>
      </c>
      <c r="L13" s="333">
        <f t="shared" si="1"/>
        <v>285620000</v>
      </c>
      <c r="M13" s="334">
        <f t="shared" si="1"/>
        <v>82511000</v>
      </c>
      <c r="N13" s="334">
        <f t="shared" si="1"/>
        <v>90143000</v>
      </c>
      <c r="O13" s="334">
        <f t="shared" si="1"/>
        <v>102217000</v>
      </c>
      <c r="P13" s="334">
        <f t="shared" si="1"/>
        <v>105701000</v>
      </c>
      <c r="Q13" s="333">
        <f t="shared" si="1"/>
        <v>380572000</v>
      </c>
      <c r="R13" s="334">
        <f t="shared" si="1"/>
        <v>99437000</v>
      </c>
      <c r="S13" s="334">
        <f t="shared" si="1"/>
        <v>104661000</v>
      </c>
      <c r="T13" s="334">
        <f t="shared" si="1"/>
        <v>119753000</v>
      </c>
      <c r="U13" s="334">
        <f t="shared" si="1"/>
        <v>119175000</v>
      </c>
      <c r="V13" s="333">
        <f t="shared" si="1"/>
        <v>443026000</v>
      </c>
      <c r="W13" s="334">
        <f t="shared" si="1"/>
        <v>119038000</v>
      </c>
      <c r="X13" s="334">
        <f t="shared" si="1"/>
        <v>127290000</v>
      </c>
      <c r="Y13" s="334">
        <f t="shared" si="1"/>
        <v>140603000</v>
      </c>
      <c r="Z13" s="334">
        <f t="shared" si="1"/>
        <v>141726000</v>
      </c>
      <c r="AA13" s="333">
        <f t="shared" si="1"/>
        <v>528657000</v>
      </c>
      <c r="AB13" s="334">
        <f t="shared" si="1"/>
        <v>142243000</v>
      </c>
      <c r="AC13" s="334">
        <f t="shared" si="1"/>
        <v>147099000</v>
      </c>
      <c r="AD13" s="334">
        <f t="shared" si="1"/>
        <v>158615000</v>
      </c>
      <c r="AE13" s="334">
        <f t="shared" si="1"/>
        <v>148626000</v>
      </c>
      <c r="AF13" s="333">
        <f t="shared" si="1"/>
        <v>596583000</v>
      </c>
      <c r="AG13" s="334">
        <f t="shared" si="1"/>
        <v>154069000</v>
      </c>
      <c r="AH13" s="334">
        <f t="shared" si="1"/>
        <v>159871000</v>
      </c>
      <c r="AI13" s="334">
        <f t="shared" si="1"/>
        <v>173869000</v>
      </c>
      <c r="AJ13" s="334">
        <f t="shared" si="1"/>
        <v>171852000</v>
      </c>
      <c r="AK13" s="333">
        <f t="shared" si="1"/>
        <v>659661000</v>
      </c>
      <c r="AL13" s="334">
        <f t="shared" si="1"/>
        <v>175961000</v>
      </c>
      <c r="AM13" s="334">
        <f t="shared" si="1"/>
        <v>185483000</v>
      </c>
      <c r="AN13" s="334">
        <f t="shared" si="1"/>
        <v>195412000</v>
      </c>
      <c r="AO13" s="334">
        <f t="shared" si="1"/>
        <v>0</v>
      </c>
      <c r="AP13" s="333">
        <f t="shared" si="1"/>
        <v>556856000</v>
      </c>
    </row>
    <row r="14" spans="1:43" ht="15" customHeight="1" x14ac:dyDescent="0.25">
      <c r="B14" s="350"/>
      <c r="G14" s="350"/>
      <c r="L14" s="350"/>
      <c r="Q14" s="350"/>
      <c r="V14" s="350"/>
      <c r="AA14" s="350"/>
      <c r="AF14" s="350"/>
      <c r="AK14" s="350"/>
      <c r="AP14" s="350"/>
    </row>
    <row r="15" spans="1:43" ht="15" customHeight="1" x14ac:dyDescent="0.3">
      <c r="A15" s="339" t="s">
        <v>487</v>
      </c>
      <c r="B15" s="340">
        <v>28</v>
      </c>
      <c r="C15" s="341">
        <v>29</v>
      </c>
      <c r="D15" s="341">
        <v>31</v>
      </c>
      <c r="E15" s="341">
        <v>31</v>
      </c>
      <c r="F15" s="341">
        <v>34</v>
      </c>
      <c r="G15" s="340">
        <v>34</v>
      </c>
      <c r="H15" s="341">
        <v>32</v>
      </c>
      <c r="I15" s="341">
        <v>40</v>
      </c>
      <c r="J15" s="341">
        <v>42</v>
      </c>
      <c r="K15" s="341">
        <v>46</v>
      </c>
      <c r="L15" s="340">
        <v>46</v>
      </c>
      <c r="M15" s="341">
        <v>45</v>
      </c>
      <c r="N15" s="341">
        <v>44</v>
      </c>
      <c r="O15" s="341">
        <v>54</v>
      </c>
      <c r="P15" s="341">
        <v>53</v>
      </c>
      <c r="Q15" s="340">
        <v>53</v>
      </c>
      <c r="R15" s="341">
        <v>60</v>
      </c>
      <c r="S15" s="341">
        <v>62</v>
      </c>
      <c r="T15" s="341">
        <v>65</v>
      </c>
      <c r="U15" s="341">
        <v>70</v>
      </c>
      <c r="V15" s="340">
        <v>70</v>
      </c>
      <c r="W15" s="341">
        <v>70</v>
      </c>
      <c r="X15" s="341">
        <v>80</v>
      </c>
      <c r="Y15" s="341">
        <v>86</v>
      </c>
      <c r="Z15" s="341">
        <v>87</v>
      </c>
      <c r="AA15" s="340">
        <v>87</v>
      </c>
      <c r="AB15" s="341">
        <v>90</v>
      </c>
      <c r="AC15" s="341">
        <v>92</v>
      </c>
      <c r="AD15" s="341">
        <v>94</v>
      </c>
      <c r="AE15" s="341">
        <v>95</v>
      </c>
      <c r="AF15" s="340">
        <v>95</v>
      </c>
      <c r="AG15" s="341">
        <v>96</v>
      </c>
      <c r="AH15" s="341">
        <v>99</v>
      </c>
      <c r="AI15" s="341">
        <v>105</v>
      </c>
      <c r="AJ15" s="341">
        <v>115</v>
      </c>
      <c r="AK15" s="340">
        <v>115</v>
      </c>
      <c r="AL15" s="341">
        <f>+'1.Input Other Customer details'!AL6</f>
        <v>115</v>
      </c>
      <c r="AM15" s="341">
        <f>+'1.Input Other Customer details'!AM6</f>
        <v>125</v>
      </c>
      <c r="AN15" s="341">
        <f>+'1.Input Other Customer details'!AN6</f>
        <v>125</v>
      </c>
      <c r="AO15" s="341">
        <f>+'1.Input Other Customer details'!AO6</f>
        <v>0</v>
      </c>
      <c r="AP15" s="342">
        <f>+'1.Input Other Customer details'!AP6</f>
        <v>125</v>
      </c>
      <c r="AQ15" s="351"/>
    </row>
    <row r="16" spans="1:43" ht="15" customHeight="1" x14ac:dyDescent="0.3">
      <c r="A16" s="343" t="s">
        <v>488</v>
      </c>
      <c r="B16" s="344">
        <v>402</v>
      </c>
      <c r="C16" s="345">
        <v>435</v>
      </c>
      <c r="D16" s="345">
        <v>450</v>
      </c>
      <c r="E16" s="345">
        <v>520</v>
      </c>
      <c r="F16" s="345">
        <v>550</v>
      </c>
      <c r="G16" s="344">
        <v>550</v>
      </c>
      <c r="H16" s="345">
        <v>585</v>
      </c>
      <c r="I16" s="345">
        <v>610</v>
      </c>
      <c r="J16" s="345">
        <v>640</v>
      </c>
      <c r="K16" s="345">
        <v>665</v>
      </c>
      <c r="L16" s="344">
        <v>665</v>
      </c>
      <c r="M16" s="345">
        <v>690</v>
      </c>
      <c r="N16" s="345">
        <v>720</v>
      </c>
      <c r="O16" s="345">
        <v>770</v>
      </c>
      <c r="P16" s="345">
        <v>780</v>
      </c>
      <c r="Q16" s="344">
        <v>780</v>
      </c>
      <c r="R16" s="345">
        <v>770</v>
      </c>
      <c r="S16" s="345">
        <v>795</v>
      </c>
      <c r="T16" s="345">
        <v>810</v>
      </c>
      <c r="U16" s="345">
        <v>825</v>
      </c>
      <c r="V16" s="344">
        <v>825</v>
      </c>
      <c r="W16" s="345">
        <v>855</v>
      </c>
      <c r="X16" s="345">
        <v>870</v>
      </c>
      <c r="Y16" s="345">
        <v>890</v>
      </c>
      <c r="Z16" s="345">
        <v>905</v>
      </c>
      <c r="AA16" s="344">
        <v>905</v>
      </c>
      <c r="AB16" s="345">
        <v>910</v>
      </c>
      <c r="AC16" s="345">
        <v>920</v>
      </c>
      <c r="AD16" s="345">
        <v>910</v>
      </c>
      <c r="AE16" s="345">
        <v>920</v>
      </c>
      <c r="AF16" s="344">
        <v>920</v>
      </c>
      <c r="AG16" s="345">
        <v>915</v>
      </c>
      <c r="AH16" s="345">
        <v>895</v>
      </c>
      <c r="AI16" s="345">
        <v>895</v>
      </c>
      <c r="AJ16" s="345">
        <v>900</v>
      </c>
      <c r="AK16" s="344">
        <v>900</v>
      </c>
      <c r="AL16" s="345">
        <f>+'1.Input Other Customer details'!AL7</f>
        <v>900</v>
      </c>
      <c r="AM16" s="345">
        <f>+'1.Input Other Customer details'!AM7</f>
        <v>885</v>
      </c>
      <c r="AN16" s="345">
        <f>+'1.Input Other Customer details'!AN7</f>
        <v>865</v>
      </c>
      <c r="AO16" s="345">
        <f>+'1.Input Other Customer details'!AO7</f>
        <v>0</v>
      </c>
      <c r="AP16" s="346">
        <f>+'1.Input Other Customer details'!AP7</f>
        <v>865</v>
      </c>
      <c r="AQ16" s="351"/>
    </row>
    <row r="17" spans="1:42" ht="15" customHeight="1" x14ac:dyDescent="0.25">
      <c r="A17" s="352"/>
      <c r="B17" s="353"/>
      <c r="C17" s="354"/>
      <c r="D17" s="354"/>
      <c r="E17" s="354"/>
      <c r="F17" s="354"/>
      <c r="G17" s="353"/>
      <c r="H17" s="354"/>
      <c r="I17" s="354"/>
      <c r="J17" s="354"/>
      <c r="K17" s="354"/>
      <c r="L17" s="353"/>
      <c r="M17" s="354"/>
      <c r="N17" s="354"/>
      <c r="O17" s="354"/>
      <c r="P17" s="354"/>
      <c r="Q17" s="353"/>
      <c r="R17" s="354"/>
      <c r="S17" s="354"/>
      <c r="T17" s="354"/>
      <c r="U17" s="354"/>
      <c r="V17" s="353"/>
      <c r="W17" s="354"/>
      <c r="X17" s="354"/>
      <c r="Y17" s="354"/>
      <c r="Z17" s="354"/>
      <c r="AA17" s="353"/>
      <c r="AB17" s="354"/>
      <c r="AC17" s="354"/>
      <c r="AD17" s="354"/>
      <c r="AE17" s="354"/>
      <c r="AF17" s="353"/>
      <c r="AG17" s="354"/>
      <c r="AH17" s="354"/>
      <c r="AI17" s="354"/>
      <c r="AJ17" s="354"/>
      <c r="AK17" s="353"/>
      <c r="AL17" s="354"/>
      <c r="AM17" s="354"/>
      <c r="AN17" s="354"/>
      <c r="AO17" s="354"/>
      <c r="AP17" s="353"/>
    </row>
    <row r="18" spans="1:42" ht="27.5" customHeight="1" x14ac:dyDescent="0.25">
      <c r="B18" s="411" t="s">
        <v>441</v>
      </c>
      <c r="C18" s="362"/>
      <c r="D18" s="362"/>
      <c r="E18" s="362"/>
      <c r="F18" s="362"/>
    </row>
    <row r="19" spans="1:42" ht="15" customHeight="1" x14ac:dyDescent="0.25"/>
    <row r="20" spans="1:42" ht="15" customHeight="1" x14ac:dyDescent="0.25"/>
    <row r="21" spans="1:42" ht="15" customHeight="1" x14ac:dyDescent="0.25"/>
    <row r="22" spans="1:42" ht="15" customHeight="1" x14ac:dyDescent="0.25"/>
    <row r="23" spans="1:42" ht="15" customHeight="1" x14ac:dyDescent="0.25"/>
    <row r="24" spans="1:42" ht="15" customHeight="1" x14ac:dyDescent="0.25"/>
    <row r="25" spans="1:42" ht="15" customHeight="1" x14ac:dyDescent="0.25"/>
    <row r="26" spans="1:42" ht="15" customHeight="1" x14ac:dyDescent="0.25"/>
  </sheetData>
  <mergeCells count="1">
    <mergeCell ref="B18:F18"/>
  </mergeCells>
  <pageMargins left="0.25" right="0.25" top="0.75" bottom="0.75" header="0.3" footer="0.3"/>
  <pageSetup scale="53"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P38"/>
  <sheetViews>
    <sheetView zoomScale="90" zoomScaleNormal="90" workbookViewId="0">
      <pane xSplit="1" ySplit="6" topLeftCell="AC7" activePane="bottomRight" state="frozen"/>
      <selection pane="topRight"/>
      <selection pane="bottomLeft"/>
      <selection pane="bottomRight" activeCell="AP1" sqref="AP1:AP1048576"/>
    </sheetView>
  </sheetViews>
  <sheetFormatPr defaultColWidth="13.08984375" defaultRowHeight="12.5" outlineLevelCol="1" x14ac:dyDescent="0.25"/>
  <cols>
    <col min="1" max="1" width="41.26953125" customWidth="1"/>
    <col min="2" max="16" width="12.90625" hidden="1" customWidth="1" outlineLevel="1"/>
    <col min="17" max="17" width="12.90625" customWidth="1" collapsed="1"/>
    <col min="18" max="21" width="12.90625" hidden="1" customWidth="1" outlineLevel="1"/>
    <col min="22" max="22" width="12.90625" customWidth="1" collapsed="1"/>
    <col min="23" max="26" width="12.90625" hidden="1" customWidth="1" outlineLevel="1"/>
    <col min="27" max="27" width="12.90625" customWidth="1" collapsed="1"/>
    <col min="28" max="40" width="12.90625" customWidth="1"/>
    <col min="41" max="42" width="12.90625" hidden="1" customWidth="1"/>
    <col min="43" max="44" width="8.6328125" customWidth="1"/>
  </cols>
  <sheetData>
    <row r="1" spans="1:42" ht="33.25" customHeight="1" x14ac:dyDescent="0.25">
      <c r="A1" s="66"/>
    </row>
    <row r="2" spans="1:42" ht="15" customHeight="1" x14ac:dyDescent="0.3">
      <c r="A2" s="325" t="s">
        <v>489</v>
      </c>
    </row>
    <row r="3" spans="1:42" ht="15" customHeight="1" x14ac:dyDescent="0.25">
      <c r="A3" s="326" t="s">
        <v>432</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row>
    <row r="4" spans="1:42" ht="15" customHeight="1" x14ac:dyDescent="0.25"/>
    <row r="5" spans="1:42" ht="15" customHeight="1" x14ac:dyDescent="0.3">
      <c r="B5" s="185" t="s">
        <v>223</v>
      </c>
      <c r="C5" s="186" t="s">
        <v>224</v>
      </c>
      <c r="D5" s="186" t="s">
        <v>225</v>
      </c>
      <c r="E5" s="186" t="s">
        <v>226</v>
      </c>
      <c r="F5" s="186" t="s">
        <v>227</v>
      </c>
      <c r="G5" s="185" t="s">
        <v>228</v>
      </c>
      <c r="H5" s="186" t="s">
        <v>229</v>
      </c>
      <c r="I5" s="186" t="s">
        <v>230</v>
      </c>
      <c r="J5" s="186" t="s">
        <v>231</v>
      </c>
      <c r="K5" s="186" t="s">
        <v>232</v>
      </c>
      <c r="L5" s="185" t="s">
        <v>233</v>
      </c>
      <c r="M5" s="186" t="s">
        <v>234</v>
      </c>
      <c r="N5" s="186" t="s">
        <v>235</v>
      </c>
      <c r="O5" s="186" t="s">
        <v>236</v>
      </c>
      <c r="P5" s="186" t="s">
        <v>237</v>
      </c>
      <c r="Q5" s="185" t="s">
        <v>238</v>
      </c>
      <c r="R5" s="186" t="s">
        <v>239</v>
      </c>
      <c r="S5" s="186" t="s">
        <v>240</v>
      </c>
      <c r="T5" s="186" t="s">
        <v>241</v>
      </c>
      <c r="U5" s="186" t="s">
        <v>242</v>
      </c>
      <c r="V5" s="185" t="s">
        <v>243</v>
      </c>
      <c r="W5" s="186" t="s">
        <v>244</v>
      </c>
      <c r="X5" s="186" t="s">
        <v>245</v>
      </c>
      <c r="Y5" s="186" t="s">
        <v>246</v>
      </c>
      <c r="Z5" s="186" t="s">
        <v>247</v>
      </c>
      <c r="AA5" s="185" t="s">
        <v>248</v>
      </c>
      <c r="AB5" s="186" t="s">
        <v>249</v>
      </c>
      <c r="AC5" s="186" t="s">
        <v>250</v>
      </c>
      <c r="AD5" s="186" t="s">
        <v>251</v>
      </c>
      <c r="AE5" s="186" t="s">
        <v>252</v>
      </c>
      <c r="AF5" s="185" t="s">
        <v>253</v>
      </c>
      <c r="AG5" s="186" t="s">
        <v>254</v>
      </c>
      <c r="AH5" s="186" t="s">
        <v>255</v>
      </c>
      <c r="AI5" s="186" t="s">
        <v>256</v>
      </c>
      <c r="AJ5" s="186" t="s">
        <v>257</v>
      </c>
      <c r="AK5" s="185" t="s">
        <v>258</v>
      </c>
      <c r="AL5" s="186" t="s">
        <v>259</v>
      </c>
      <c r="AM5" s="186" t="s">
        <v>260</v>
      </c>
      <c r="AN5" s="186" t="s">
        <v>261</v>
      </c>
      <c r="AO5" s="186" t="s">
        <v>262</v>
      </c>
      <c r="AP5" s="185" t="s">
        <v>263</v>
      </c>
    </row>
    <row r="6" spans="1:42" ht="15" customHeight="1" x14ac:dyDescent="0.25">
      <c r="B6" s="189"/>
      <c r="C6" s="50"/>
      <c r="D6" s="50"/>
      <c r="E6" s="50"/>
      <c r="F6" s="50"/>
      <c r="G6" s="189"/>
      <c r="H6" s="50"/>
      <c r="I6" s="50"/>
      <c r="J6" s="50"/>
      <c r="K6" s="50"/>
      <c r="L6" s="189"/>
      <c r="M6" s="50"/>
      <c r="N6" s="50"/>
      <c r="O6" s="50"/>
      <c r="P6" s="50"/>
      <c r="Q6" s="189"/>
      <c r="R6" s="50"/>
      <c r="S6" s="50"/>
      <c r="T6" s="50"/>
      <c r="U6" s="50"/>
      <c r="V6" s="189"/>
      <c r="W6" s="50"/>
      <c r="X6" s="50"/>
      <c r="Y6" s="50"/>
      <c r="Z6" s="50"/>
      <c r="AA6" s="189"/>
      <c r="AB6" s="50"/>
      <c r="AC6" s="50"/>
      <c r="AD6" s="50"/>
      <c r="AE6" s="50"/>
      <c r="AF6" s="189"/>
      <c r="AG6" s="50"/>
      <c r="AH6" s="50"/>
      <c r="AI6" s="50"/>
      <c r="AJ6" s="50"/>
      <c r="AK6" s="189"/>
      <c r="AL6" s="50"/>
      <c r="AM6" s="50"/>
      <c r="AN6" s="50"/>
      <c r="AO6" s="50"/>
      <c r="AP6" s="189"/>
    </row>
    <row r="7" spans="1:42" ht="27.5" customHeight="1" x14ac:dyDescent="0.25">
      <c r="A7" s="81" t="s">
        <v>490</v>
      </c>
      <c r="B7" s="315">
        <v>-130760000</v>
      </c>
      <c r="C7" s="316">
        <v>-40399000</v>
      </c>
      <c r="D7" s="316">
        <v>-37870000</v>
      </c>
      <c r="E7" s="316">
        <v>-27257000</v>
      </c>
      <c r="F7" s="316">
        <v>-27496000</v>
      </c>
      <c r="G7" s="315">
        <f>SUM(C7:F7)</f>
        <v>-133022000</v>
      </c>
      <c r="H7" s="316">
        <v>-29246000</v>
      </c>
      <c r="I7" s="316">
        <v>-38480000</v>
      </c>
      <c r="J7" s="316">
        <v>-37807000</v>
      </c>
      <c r="K7" s="316">
        <v>-73823000</v>
      </c>
      <c r="L7" s="315">
        <f>SUM(H7:K7)</f>
        <v>-179356000</v>
      </c>
      <c r="M7" s="316">
        <v>-42493000</v>
      </c>
      <c r="N7" s="316">
        <v>-45493000</v>
      </c>
      <c r="O7" s="316">
        <v>-38327000</v>
      </c>
      <c r="P7" s="316">
        <v>-39224000</v>
      </c>
      <c r="Q7" s="315">
        <f>SUM(M7:P7)</f>
        <v>-165537000</v>
      </c>
      <c r="R7" s="316">
        <v>-25544000</v>
      </c>
      <c r="S7" s="316">
        <v>-27077000</v>
      </c>
      <c r="T7" s="316">
        <v>-15867000</v>
      </c>
      <c r="U7" s="316">
        <v>-52312000</v>
      </c>
      <c r="V7" s="315">
        <f>SUM(R7:U7)</f>
        <v>-120800000</v>
      </c>
      <c r="W7" s="316">
        <v>13000000</v>
      </c>
      <c r="X7" s="316">
        <v>-6032000</v>
      </c>
      <c r="Y7" s="316">
        <v>-14027000</v>
      </c>
      <c r="Z7" s="316">
        <v>-28016000</v>
      </c>
      <c r="AA7" s="315">
        <f>SUM(W7:Z7)</f>
        <v>-35075000</v>
      </c>
      <c r="AB7" s="316">
        <v>-24903000</v>
      </c>
      <c r="AC7" s="316">
        <v>-26874000</v>
      </c>
      <c r="AD7" s="316">
        <v>-24685000</v>
      </c>
      <c r="AE7" s="316">
        <v>-42392000</v>
      </c>
      <c r="AF7" s="315">
        <f>SUM(AB7:AE7)</f>
        <v>-118854000</v>
      </c>
      <c r="AG7" s="316">
        <f>+'1.Input IS Trend &amp; EPS'!BF28</f>
        <v>7119000</v>
      </c>
      <c r="AH7" s="316">
        <f>+'1.Input IS Trend &amp; EPS'!BG28</f>
        <v>14639000</v>
      </c>
      <c r="AI7" s="316">
        <f>+'1.Input IS Trend &amp; EPS'!BH28</f>
        <v>21808000</v>
      </c>
      <c r="AJ7" s="316">
        <f>+'1.Input IS Trend &amp; EPS'!BI28</f>
        <v>-9205000</v>
      </c>
      <c r="AK7" s="315">
        <f>SUM(AG7:AJ7)</f>
        <v>34361000</v>
      </c>
      <c r="AL7" s="316">
        <f>+'1.Input IS Trend &amp; EPS'!AZ28</f>
        <v>-804000</v>
      </c>
      <c r="AM7" s="316">
        <f>+'1.Input IS Trend &amp; EPS'!BA28</f>
        <v>11684000</v>
      </c>
      <c r="AN7" s="316">
        <f>+'1.Input IS Trend &amp; EPS'!BB28</f>
        <v>18706000</v>
      </c>
      <c r="AO7" s="316">
        <f>+'1.Input IS Trend &amp; EPS'!BC28</f>
        <v>0</v>
      </c>
      <c r="AP7" s="315">
        <f>SUM(AL7:AO7)</f>
        <v>29586000</v>
      </c>
    </row>
    <row r="8" spans="1:42" ht="16.649999999999999" customHeight="1" x14ac:dyDescent="0.25">
      <c r="A8" s="338" t="s">
        <v>436</v>
      </c>
      <c r="B8" s="297">
        <v>-45184000</v>
      </c>
      <c r="C8" s="255">
        <v>-14184000</v>
      </c>
      <c r="D8" s="255">
        <v>-12679000</v>
      </c>
      <c r="E8" s="255">
        <v>-30374000</v>
      </c>
      <c r="F8" s="255">
        <v>-8486000</v>
      </c>
      <c r="G8" s="355">
        <f>SUM(C8:F8)</f>
        <v>-65723000</v>
      </c>
      <c r="H8" s="255">
        <v>-1428000</v>
      </c>
      <c r="I8" s="255">
        <v>2700000</v>
      </c>
      <c r="J8" s="255">
        <v>-22546000</v>
      </c>
      <c r="K8" s="255">
        <v>-24135000</v>
      </c>
      <c r="L8" s="297">
        <f>SUM(H8:K8)</f>
        <v>-45409000</v>
      </c>
      <c r="M8" s="255">
        <v>-353000</v>
      </c>
      <c r="N8" s="255">
        <v>-5291000</v>
      </c>
      <c r="O8" s="255">
        <v>-287000</v>
      </c>
      <c r="P8" s="255">
        <v>-34345000</v>
      </c>
      <c r="Q8" s="297">
        <f>SUM(M8:P8)</f>
        <v>-40276000</v>
      </c>
      <c r="R8" s="255">
        <v>-3816000</v>
      </c>
      <c r="S8" s="255">
        <v>-3109000</v>
      </c>
      <c r="T8" s="255">
        <v>-4142000</v>
      </c>
      <c r="U8" s="255">
        <v>-19465000</v>
      </c>
      <c r="V8" s="297">
        <f>SUM(R8:U8)</f>
        <v>-30532000</v>
      </c>
      <c r="W8" s="255">
        <v>-4365000</v>
      </c>
      <c r="X8" s="255">
        <v>399000</v>
      </c>
      <c r="Y8" s="255">
        <v>1348000</v>
      </c>
      <c r="Z8" s="255">
        <v>1376000</v>
      </c>
      <c r="AA8" s="297">
        <f>SUM(W8:Z8)</f>
        <v>-1242000</v>
      </c>
      <c r="AB8" s="255">
        <v>2315000</v>
      </c>
      <c r="AC8" s="255">
        <v>3562000</v>
      </c>
      <c r="AD8" s="255">
        <v>5835000</v>
      </c>
      <c r="AE8" s="255">
        <v>-6460000</v>
      </c>
      <c r="AF8" s="297">
        <f>SUM(AB8:AE8)</f>
        <v>5252000</v>
      </c>
      <c r="AG8" s="255">
        <f>+'1.Input IS Trend &amp; EPS'!BF29</f>
        <v>8705000</v>
      </c>
      <c r="AH8" s="255">
        <f>+'1.Input IS Trend &amp; EPS'!BG29</f>
        <v>10163000</v>
      </c>
      <c r="AI8" s="255">
        <f>+'1.Input IS Trend &amp; EPS'!BH29</f>
        <v>8429000</v>
      </c>
      <c r="AJ8" s="255">
        <f>+'1.Input IS Trend &amp; EPS'!BI29</f>
        <v>-3027000</v>
      </c>
      <c r="AK8" s="297">
        <f>SUM(AG8:AJ8)</f>
        <v>24270000</v>
      </c>
      <c r="AL8" s="255">
        <f>+'1.Input IS Trend &amp; EPS'!AZ29</f>
        <v>6685000</v>
      </c>
      <c r="AM8" s="255">
        <f>+'1.Input IS Trend &amp; EPS'!BA29</f>
        <v>9952000</v>
      </c>
      <c r="AN8" s="255">
        <f>+'1.Input IS Trend &amp; EPS'!BB29</f>
        <v>9184000</v>
      </c>
      <c r="AO8" s="255">
        <f>+'1.Input IS Trend &amp; EPS'!BC29</f>
        <v>0</v>
      </c>
      <c r="AP8" s="297">
        <f>SUM(AL8:AO8)</f>
        <v>25821000</v>
      </c>
    </row>
    <row r="9" spans="1:42" ht="27.5" customHeight="1" x14ac:dyDescent="0.3">
      <c r="A9" s="44" t="s">
        <v>491</v>
      </c>
      <c r="B9" s="333">
        <f t="shared" ref="B9:AP9" si="0">+B7-B8</f>
        <v>-85576000</v>
      </c>
      <c r="C9" s="334">
        <f t="shared" si="0"/>
        <v>-26215000</v>
      </c>
      <c r="D9" s="334">
        <f t="shared" si="0"/>
        <v>-25191000</v>
      </c>
      <c r="E9" s="334">
        <f t="shared" si="0"/>
        <v>3117000</v>
      </c>
      <c r="F9" s="334">
        <f t="shared" si="0"/>
        <v>-19010000</v>
      </c>
      <c r="G9" s="333">
        <f t="shared" si="0"/>
        <v>-67299000</v>
      </c>
      <c r="H9" s="334">
        <f t="shared" si="0"/>
        <v>-27818000</v>
      </c>
      <c r="I9" s="334">
        <f t="shared" si="0"/>
        <v>-41180000</v>
      </c>
      <c r="J9" s="334">
        <f t="shared" si="0"/>
        <v>-15261000</v>
      </c>
      <c r="K9" s="334">
        <f t="shared" si="0"/>
        <v>-49688000</v>
      </c>
      <c r="L9" s="333">
        <f t="shared" si="0"/>
        <v>-133947000</v>
      </c>
      <c r="M9" s="334">
        <f t="shared" si="0"/>
        <v>-42140000</v>
      </c>
      <c r="N9" s="334">
        <f t="shared" si="0"/>
        <v>-40202000</v>
      </c>
      <c r="O9" s="334">
        <f t="shared" si="0"/>
        <v>-38040000</v>
      </c>
      <c r="P9" s="334">
        <f t="shared" si="0"/>
        <v>-4879000</v>
      </c>
      <c r="Q9" s="333">
        <f t="shared" si="0"/>
        <v>-125261000</v>
      </c>
      <c r="R9" s="334">
        <f t="shared" si="0"/>
        <v>-21728000</v>
      </c>
      <c r="S9" s="334">
        <f t="shared" si="0"/>
        <v>-23968000</v>
      </c>
      <c r="T9" s="334">
        <f t="shared" si="0"/>
        <v>-11725000</v>
      </c>
      <c r="U9" s="334">
        <f t="shared" si="0"/>
        <v>-32847000</v>
      </c>
      <c r="V9" s="333">
        <f t="shared" si="0"/>
        <v>-90268000</v>
      </c>
      <c r="W9" s="334">
        <f t="shared" si="0"/>
        <v>17365000</v>
      </c>
      <c r="X9" s="334">
        <f t="shared" si="0"/>
        <v>-6431000</v>
      </c>
      <c r="Y9" s="334">
        <f t="shared" si="0"/>
        <v>-15375000</v>
      </c>
      <c r="Z9" s="334">
        <f t="shared" si="0"/>
        <v>-29392000</v>
      </c>
      <c r="AA9" s="333">
        <f t="shared" si="0"/>
        <v>-33833000</v>
      </c>
      <c r="AB9" s="334">
        <f t="shared" si="0"/>
        <v>-27218000</v>
      </c>
      <c r="AC9" s="334">
        <f t="shared" si="0"/>
        <v>-30436000</v>
      </c>
      <c r="AD9" s="334">
        <f t="shared" si="0"/>
        <v>-30520000</v>
      </c>
      <c r="AE9" s="334">
        <f t="shared" si="0"/>
        <v>-35932000</v>
      </c>
      <c r="AF9" s="333">
        <f t="shared" si="0"/>
        <v>-124106000</v>
      </c>
      <c r="AG9" s="334">
        <f t="shared" si="0"/>
        <v>-1586000</v>
      </c>
      <c r="AH9" s="334">
        <f t="shared" si="0"/>
        <v>4476000</v>
      </c>
      <c r="AI9" s="334">
        <f t="shared" si="0"/>
        <v>13379000</v>
      </c>
      <c r="AJ9" s="334">
        <f t="shared" si="0"/>
        <v>-6178000</v>
      </c>
      <c r="AK9" s="333">
        <f t="shared" si="0"/>
        <v>10091000</v>
      </c>
      <c r="AL9" s="334">
        <f t="shared" si="0"/>
        <v>-7489000</v>
      </c>
      <c r="AM9" s="334">
        <f t="shared" si="0"/>
        <v>1732000</v>
      </c>
      <c r="AN9" s="334">
        <f t="shared" si="0"/>
        <v>9522000</v>
      </c>
      <c r="AO9" s="334">
        <f t="shared" si="0"/>
        <v>0</v>
      </c>
      <c r="AP9" s="333">
        <f t="shared" si="0"/>
        <v>3765000</v>
      </c>
    </row>
    <row r="10" spans="1:42" ht="15" customHeight="1" x14ac:dyDescent="0.25">
      <c r="B10" s="319"/>
      <c r="G10" s="319"/>
      <c r="L10" s="319"/>
      <c r="Q10" s="319"/>
      <c r="V10" s="319"/>
      <c r="AA10" s="319"/>
      <c r="AF10" s="319"/>
      <c r="AK10" s="319"/>
      <c r="AP10" s="319"/>
    </row>
    <row r="11" spans="1:42" ht="16.649999999999999" customHeight="1" x14ac:dyDescent="0.3">
      <c r="A11" s="2" t="s">
        <v>492</v>
      </c>
      <c r="B11" s="319"/>
      <c r="G11" s="319"/>
      <c r="L11" s="319"/>
      <c r="Q11" s="319"/>
      <c r="V11" s="319"/>
      <c r="AA11" s="319"/>
      <c r="AF11" s="319"/>
      <c r="AK11" s="319"/>
      <c r="AP11" s="319"/>
    </row>
    <row r="12" spans="1:42" ht="16.649999999999999" customHeight="1" x14ac:dyDescent="0.25">
      <c r="A12" s="81" t="s">
        <v>306</v>
      </c>
      <c r="B12" s="309">
        <v>-1.1599999999999999</v>
      </c>
      <c r="C12" s="98">
        <v>-0.33</v>
      </c>
      <c r="D12" s="98">
        <v>-0.32</v>
      </c>
      <c r="E12" s="98">
        <v>0.04</v>
      </c>
      <c r="F12" s="98">
        <v>-0.24</v>
      </c>
      <c r="G12" s="309">
        <v>-0.85</v>
      </c>
      <c r="H12" s="98">
        <v>-0.36</v>
      </c>
      <c r="I12" s="98">
        <v>-0.53</v>
      </c>
      <c r="J12" s="98">
        <v>-0.2</v>
      </c>
      <c r="K12" s="98">
        <v>-0.73</v>
      </c>
      <c r="L12" s="309">
        <v>-1.79</v>
      </c>
      <c r="M12" s="98">
        <v>-0.61</v>
      </c>
      <c r="N12" s="98">
        <v>-0.59</v>
      </c>
      <c r="O12" s="98">
        <v>-0.56000000000000005</v>
      </c>
      <c r="P12" s="98">
        <v>-0.06</v>
      </c>
      <c r="Q12" s="309">
        <v>-1.85</v>
      </c>
      <c r="R12" s="98">
        <v>-0.33</v>
      </c>
      <c r="S12" s="98">
        <v>-0.36</v>
      </c>
      <c r="T12" s="98">
        <v>-0.18</v>
      </c>
      <c r="U12" s="98">
        <v>-0.49</v>
      </c>
      <c r="V12" s="309">
        <v>-1.36</v>
      </c>
      <c r="W12" s="98">
        <v>0.25</v>
      </c>
      <c r="X12" s="98">
        <v>-0.09</v>
      </c>
      <c r="Y12" s="98">
        <v>-0.23</v>
      </c>
      <c r="Z12" s="98">
        <v>-0.43</v>
      </c>
      <c r="AA12" s="309">
        <v>-0.5</v>
      </c>
      <c r="AB12" s="98">
        <v>-0.4</v>
      </c>
      <c r="AC12" s="98">
        <v>-0.45</v>
      </c>
      <c r="AD12" s="98">
        <v>-0.46</v>
      </c>
      <c r="AE12" s="98">
        <v>-0.48</v>
      </c>
      <c r="AF12" s="309">
        <v>-1.87</v>
      </c>
      <c r="AG12" s="98">
        <f>+'1.Input IS Trend &amp; EPS'!BF39</f>
        <v>-2.3850700031580373E-2</v>
      </c>
      <c r="AH12" s="98">
        <f>+'1.Input IS Trend &amp; EPS'!BG39</f>
        <v>7.3366121537625978E-2</v>
      </c>
      <c r="AI12" s="98">
        <f>+'1.Input IS Trend &amp; EPS'!BH39</f>
        <v>0.21189793969163598</v>
      </c>
      <c r="AJ12" s="98">
        <f>+'1.Input IS Trend &amp; EPS'!BI39</f>
        <v>-8.1012620056390691E-2</v>
      </c>
      <c r="AK12" s="309">
        <f>+'1.Input IS Trend &amp; EPS'!BJ39</f>
        <v>0.17929254821477078</v>
      </c>
      <c r="AL12" s="98">
        <f>+'1.Input IS Trend &amp; EPS'!AZ39</f>
        <v>-0.11241200222152174</v>
      </c>
      <c r="AM12" s="98">
        <f>+'1.Input IS Trend &amp; EPS'!BA39</f>
        <v>2.6126044589253928E-2</v>
      </c>
      <c r="AN12" s="98">
        <f>+'1.Input IS Trend &amp; EPS'!BB39</f>
        <v>0.17080343130532827</v>
      </c>
      <c r="AO12" s="98">
        <f>+'1.Input IS Trend &amp; EPS'!BC39</f>
        <v>0</v>
      </c>
      <c r="AP12" s="309">
        <f>+'1.Input IS Trend &amp; EPS'!BD39</f>
        <v>8.2394004412075797E-2</v>
      </c>
    </row>
    <row r="13" spans="1:42" ht="16.649999999999999" customHeight="1" x14ac:dyDescent="0.25">
      <c r="A13" s="81" t="s">
        <v>307</v>
      </c>
      <c r="B13" s="309">
        <v>-1.1599999999999999</v>
      </c>
      <c r="C13" s="98">
        <v>-0.33</v>
      </c>
      <c r="D13" s="98">
        <v>-0.32</v>
      </c>
      <c r="E13" s="98">
        <v>0.04</v>
      </c>
      <c r="F13" s="98">
        <v>-0.24</v>
      </c>
      <c r="G13" s="309">
        <v>-0.85</v>
      </c>
      <c r="H13" s="98">
        <v>-0.36</v>
      </c>
      <c r="I13" s="98">
        <v>-0.53</v>
      </c>
      <c r="J13" s="98">
        <v>-0.2</v>
      </c>
      <c r="K13" s="98">
        <v>-0.73</v>
      </c>
      <c r="L13" s="309">
        <v>-1.79</v>
      </c>
      <c r="M13" s="98">
        <v>-0.61</v>
      </c>
      <c r="N13" s="98">
        <v>-0.59</v>
      </c>
      <c r="O13" s="98">
        <v>-0.56000000000000005</v>
      </c>
      <c r="P13" s="98">
        <v>-0.06</v>
      </c>
      <c r="Q13" s="309">
        <v>-1.85</v>
      </c>
      <c r="R13" s="98">
        <v>-0.33</v>
      </c>
      <c r="S13" s="98">
        <v>-0.36</v>
      </c>
      <c r="T13" s="98">
        <v>-0.18</v>
      </c>
      <c r="U13" s="98">
        <v>-0.49</v>
      </c>
      <c r="V13" s="309">
        <v>-1.36</v>
      </c>
      <c r="W13" s="98">
        <v>0.25</v>
      </c>
      <c r="X13" s="98">
        <v>-0.09</v>
      </c>
      <c r="Y13" s="98">
        <v>-0.23</v>
      </c>
      <c r="Z13" s="98">
        <v>-0.43</v>
      </c>
      <c r="AA13" s="309">
        <v>-0.5</v>
      </c>
      <c r="AB13" s="98">
        <v>-0.4</v>
      </c>
      <c r="AC13" s="98">
        <v>-0.45</v>
      </c>
      <c r="AD13" s="98">
        <v>-0.46</v>
      </c>
      <c r="AE13" s="98">
        <v>-0.48</v>
      </c>
      <c r="AF13" s="309">
        <v>-1.87</v>
      </c>
      <c r="AG13" s="98">
        <f>+'1.Input IS Trend &amp; EPS'!BF44</f>
        <v>-2.3850700031580373E-2</v>
      </c>
      <c r="AH13" s="98">
        <f>+'1.Input IS Trend &amp; EPS'!BG44</f>
        <v>7.1653798550126713E-2</v>
      </c>
      <c r="AI13" s="98">
        <f>+'1.Input IS Trend &amp; EPS'!BH44</f>
        <v>0.2057165565253227</v>
      </c>
      <c r="AJ13" s="98">
        <f>+'1.Input IS Trend &amp; EPS'!BI44</f>
        <v>-8.1012620056390691E-2</v>
      </c>
      <c r="AK13" s="309">
        <f>+'1.Input IS Trend &amp; EPS'!BJ44</f>
        <v>0.17493153508642775</v>
      </c>
      <c r="AL13" s="98">
        <f>+'1.Input IS Trend &amp; EPS'!AZ44</f>
        <v>-0.11241200222152174</v>
      </c>
      <c r="AM13" s="98">
        <f>+'1.Input IS Trend &amp; EPS'!BA44</f>
        <v>2.5732071491182458E-2</v>
      </c>
      <c r="AN13" s="98">
        <f>+'1.Input IS Trend &amp; EPS'!BB44</f>
        <v>0.16795768844672851</v>
      </c>
      <c r="AO13" s="98">
        <f>+'1.Input IS Trend &amp; EPS'!BC44</f>
        <v>0</v>
      </c>
      <c r="AP13" s="309">
        <f>+'1.Input IS Trend &amp; EPS'!BD44</f>
        <v>8.0779201540626622E-2</v>
      </c>
    </row>
    <row r="14" spans="1:42" ht="15" customHeight="1" x14ac:dyDescent="0.25">
      <c r="B14" s="319"/>
      <c r="G14" s="319"/>
      <c r="L14" s="319"/>
      <c r="Q14" s="319"/>
      <c r="V14" s="319"/>
      <c r="AA14" s="319"/>
      <c r="AF14" s="319"/>
      <c r="AK14" s="319"/>
      <c r="AP14" s="319"/>
    </row>
    <row r="15" spans="1:42" ht="16.649999999999999" customHeight="1" x14ac:dyDescent="0.25">
      <c r="A15" s="81" t="s">
        <v>273</v>
      </c>
      <c r="B15" s="319"/>
      <c r="G15" s="319"/>
      <c r="L15" s="319"/>
      <c r="Q15" s="319"/>
      <c r="V15" s="319"/>
      <c r="AA15" s="319"/>
      <c r="AF15" s="319"/>
      <c r="AK15" s="319"/>
      <c r="AP15" s="319"/>
    </row>
    <row r="16" spans="1:42" ht="27.5" customHeight="1" x14ac:dyDescent="0.25">
      <c r="A16" s="331" t="s">
        <v>493</v>
      </c>
      <c r="B16" s="315">
        <v>18618000</v>
      </c>
      <c r="C16" s="316">
        <v>5959000</v>
      </c>
      <c r="D16" s="316">
        <v>6015000</v>
      </c>
      <c r="E16" s="316">
        <v>5965000</v>
      </c>
      <c r="F16" s="316">
        <v>5956000</v>
      </c>
      <c r="G16" s="315">
        <f t="shared" ref="G16:G21" si="1">SUM(C16:F16)</f>
        <v>23895000</v>
      </c>
      <c r="H16" s="316">
        <v>5970000</v>
      </c>
      <c r="I16" s="316">
        <v>3548000</v>
      </c>
      <c r="J16" s="316">
        <v>3359000</v>
      </c>
      <c r="K16" s="316">
        <v>2981000</v>
      </c>
      <c r="L16" s="315">
        <f t="shared" ref="L16:L21" si="2">SUM(H16:K16)</f>
        <v>15858000</v>
      </c>
      <c r="M16" s="316">
        <v>3123000</v>
      </c>
      <c r="N16" s="316">
        <v>5369000</v>
      </c>
      <c r="O16" s="316">
        <v>5369000</v>
      </c>
      <c r="P16" s="316">
        <v>5181000</v>
      </c>
      <c r="Q16" s="315">
        <f t="shared" ref="Q16:Q21" si="3">SUM(M16:P16)</f>
        <v>19042000</v>
      </c>
      <c r="R16" s="316">
        <v>5306000</v>
      </c>
      <c r="S16" s="316">
        <v>4350000</v>
      </c>
      <c r="T16" s="316">
        <v>4213000</v>
      </c>
      <c r="U16" s="316">
        <v>4177000</v>
      </c>
      <c r="V16" s="315">
        <f t="shared" ref="V16:V21" si="4">SUM(R16:U16)</f>
        <v>18046000</v>
      </c>
      <c r="W16" s="316">
        <v>4645000</v>
      </c>
      <c r="X16" s="316">
        <v>4612000</v>
      </c>
      <c r="Y16" s="316">
        <v>4647000</v>
      </c>
      <c r="Z16" s="316">
        <v>4807000</v>
      </c>
      <c r="AA16" s="315">
        <f t="shared" ref="AA16:AA21" si="5">SUM(W16:Z16)</f>
        <v>18711000</v>
      </c>
      <c r="AB16" s="316">
        <v>4643000</v>
      </c>
      <c r="AC16" s="316">
        <v>4637000</v>
      </c>
      <c r="AD16" s="316">
        <v>4209000</v>
      </c>
      <c r="AE16" s="316">
        <v>3336000</v>
      </c>
      <c r="AF16" s="315">
        <f t="shared" ref="AF16:AF21" si="6">SUM(AB16:AE16)</f>
        <v>16825000</v>
      </c>
      <c r="AG16" s="316">
        <f>+'1.Input NG EPS trend'!AF22</f>
        <v>3290000</v>
      </c>
      <c r="AH16" s="316">
        <f>+'1.Input NG EPS trend'!AG22</f>
        <v>1217000</v>
      </c>
      <c r="AI16" s="316">
        <f>+'1.Input NG EPS trend'!AH22</f>
        <v>1181000</v>
      </c>
      <c r="AJ16" s="316">
        <f>+'1.Input NG EPS trend'!AI22</f>
        <v>3097000</v>
      </c>
      <c r="AK16" s="315">
        <f t="shared" ref="AK16:AK21" si="7">SUM(AG16:AJ16)</f>
        <v>8785000</v>
      </c>
      <c r="AL16" s="316">
        <f>+'1.Input NG EPS trend'!Z22</f>
        <v>3846000</v>
      </c>
      <c r="AM16" s="316">
        <f>+'1.Input NG EPS trend'!AA22</f>
        <v>3748000</v>
      </c>
      <c r="AN16" s="316">
        <f>+'1.Input NG EPS trend'!AB22</f>
        <v>3686000</v>
      </c>
      <c r="AO16" s="316">
        <f>+'1.Input NG EPS trend'!AC22</f>
        <v>0</v>
      </c>
      <c r="AP16" s="315">
        <f t="shared" ref="AP16:AP21" si="8">SUM(AL16:AO16)</f>
        <v>11280000</v>
      </c>
    </row>
    <row r="17" spans="1:42" ht="27.5" customHeight="1" x14ac:dyDescent="0.25">
      <c r="A17" s="331" t="s">
        <v>494</v>
      </c>
      <c r="B17" s="304">
        <v>39795000</v>
      </c>
      <c r="C17" s="83">
        <v>12400000</v>
      </c>
      <c r="D17" s="83">
        <v>13154000</v>
      </c>
      <c r="E17" s="83">
        <v>13290000</v>
      </c>
      <c r="F17" s="83">
        <v>14023000</v>
      </c>
      <c r="G17" s="304">
        <f t="shared" si="1"/>
        <v>52867000</v>
      </c>
      <c r="H17" s="83">
        <v>17798000</v>
      </c>
      <c r="I17" s="83">
        <v>17667000</v>
      </c>
      <c r="J17" s="83">
        <v>26082000</v>
      </c>
      <c r="K17" s="83">
        <v>41175000</v>
      </c>
      <c r="L17" s="315">
        <f t="shared" si="2"/>
        <v>102722000</v>
      </c>
      <c r="M17" s="83">
        <v>18630000</v>
      </c>
      <c r="N17" s="83">
        <v>23354000</v>
      </c>
      <c r="O17" s="83">
        <v>30295000</v>
      </c>
      <c r="P17" s="83">
        <v>17168000</v>
      </c>
      <c r="Q17" s="304">
        <f t="shared" si="3"/>
        <v>89447000</v>
      </c>
      <c r="R17" s="83">
        <v>16485000</v>
      </c>
      <c r="S17" s="83">
        <v>24204000</v>
      </c>
      <c r="T17" s="83">
        <v>23894000</v>
      </c>
      <c r="U17" s="83">
        <v>47124000</v>
      </c>
      <c r="V17" s="304">
        <f t="shared" si="4"/>
        <v>111707000</v>
      </c>
      <c r="W17" s="83">
        <v>18496000</v>
      </c>
      <c r="X17" s="83">
        <v>19221000</v>
      </c>
      <c r="Y17" s="83">
        <v>23758000</v>
      </c>
      <c r="Z17" s="83">
        <v>25782000</v>
      </c>
      <c r="AA17" s="304">
        <f t="shared" si="5"/>
        <v>87257000</v>
      </c>
      <c r="AB17" s="83">
        <v>24225000</v>
      </c>
      <c r="AC17" s="83">
        <v>27293000</v>
      </c>
      <c r="AD17" s="83">
        <v>29624000</v>
      </c>
      <c r="AE17" s="83">
        <v>44658000</v>
      </c>
      <c r="AF17" s="304">
        <f t="shared" si="6"/>
        <v>125800000</v>
      </c>
      <c r="AG17" s="83">
        <f>+'1.Input NG EPS trend'!AF23</f>
        <v>13292000</v>
      </c>
      <c r="AH17" s="83">
        <f>+'1.Input NG EPS trend'!AG23</f>
        <v>15735000</v>
      </c>
      <c r="AI17" s="83">
        <f>+'1.Input NG EPS trend'!AH23</f>
        <v>17497000</v>
      </c>
      <c r="AJ17" s="83">
        <f>+'1.Input NG EPS trend'!AI23</f>
        <v>24780000</v>
      </c>
      <c r="AK17" s="304">
        <f t="shared" si="7"/>
        <v>71304000</v>
      </c>
      <c r="AL17" s="83">
        <f>+'1.Input NG EPS trend'!Z23</f>
        <v>27985000</v>
      </c>
      <c r="AM17" s="83">
        <f>+'1.Input NG EPS trend'!AA23</f>
        <v>29068000</v>
      </c>
      <c r="AN17" s="83">
        <f>+'1.Input NG EPS trend'!AB23</f>
        <v>26760000</v>
      </c>
      <c r="AO17" s="83">
        <f>+'1.Input NG EPS trend'!AC23</f>
        <v>0</v>
      </c>
      <c r="AP17" s="304">
        <f t="shared" si="8"/>
        <v>83813000</v>
      </c>
    </row>
    <row r="18" spans="1:42" ht="27.5" customHeight="1" x14ac:dyDescent="0.25">
      <c r="A18" s="331" t="s">
        <v>495</v>
      </c>
      <c r="B18" s="304">
        <v>4672000</v>
      </c>
      <c r="C18" s="83">
        <v>-3000</v>
      </c>
      <c r="D18" s="83">
        <v>2833000</v>
      </c>
      <c r="E18" s="83">
        <v>-788000</v>
      </c>
      <c r="F18" s="83">
        <v>681000</v>
      </c>
      <c r="G18" s="304">
        <f t="shared" si="1"/>
        <v>2723000</v>
      </c>
      <c r="H18" s="83">
        <v>1000</v>
      </c>
      <c r="I18" s="83">
        <v>489000</v>
      </c>
      <c r="J18" s="83">
        <v>5043000</v>
      </c>
      <c r="K18" s="83">
        <v>14400000</v>
      </c>
      <c r="L18" s="315">
        <f t="shared" si="2"/>
        <v>19933000</v>
      </c>
      <c r="M18" s="83">
        <v>2276000</v>
      </c>
      <c r="N18" s="83">
        <v>45000</v>
      </c>
      <c r="O18" s="83">
        <v>233000</v>
      </c>
      <c r="P18" s="83">
        <v>2447000</v>
      </c>
      <c r="Q18" s="304">
        <f t="shared" si="3"/>
        <v>5001000</v>
      </c>
      <c r="R18" s="83">
        <v>1995000</v>
      </c>
      <c r="S18" s="83">
        <v>-619000</v>
      </c>
      <c r="T18" s="83">
        <v>-6000</v>
      </c>
      <c r="U18" s="83">
        <v>1345000</v>
      </c>
      <c r="V18" s="304">
        <f t="shared" si="4"/>
        <v>2715000</v>
      </c>
      <c r="W18" s="83">
        <v>1278000</v>
      </c>
      <c r="X18" s="83">
        <v>18000</v>
      </c>
      <c r="Y18" s="83">
        <v>0</v>
      </c>
      <c r="Z18" s="83">
        <v>183000</v>
      </c>
      <c r="AA18" s="304">
        <f t="shared" si="5"/>
        <v>1479000</v>
      </c>
      <c r="AB18" s="83">
        <v>739000</v>
      </c>
      <c r="AC18" s="83">
        <v>13111000</v>
      </c>
      <c r="AD18" s="83">
        <v>11743000</v>
      </c>
      <c r="AE18" s="83">
        <v>9723000</v>
      </c>
      <c r="AF18" s="304">
        <f t="shared" si="6"/>
        <v>35316000</v>
      </c>
      <c r="AG18" s="83">
        <f>+'1.Input NG EPS trend'!AF25</f>
        <v>116000</v>
      </c>
      <c r="AH18" s="83">
        <f>+'1.Input NG EPS trend'!AG25</f>
        <v>6574000</v>
      </c>
      <c r="AI18" s="83">
        <f>+'1.Input NG EPS trend'!AH25</f>
        <v>2502000</v>
      </c>
      <c r="AJ18" s="83">
        <f>+'1.Input NG EPS trend'!AI25</f>
        <v>2516000</v>
      </c>
      <c r="AK18" s="304">
        <f t="shared" si="7"/>
        <v>11708000</v>
      </c>
      <c r="AL18" s="83">
        <f>+'1.Input NG EPS trend'!Z25</f>
        <v>206000</v>
      </c>
      <c r="AM18" s="83">
        <f>+'1.Input NG EPS trend'!AA25</f>
        <v>397000</v>
      </c>
      <c r="AN18" s="83">
        <f>+'1.Input NG EPS trend'!AB25</f>
        <v>149000</v>
      </c>
      <c r="AO18" s="83">
        <f>+'1.Input NG EPS trend'!AC25</f>
        <v>0</v>
      </c>
      <c r="AP18" s="304">
        <f t="shared" si="8"/>
        <v>752000</v>
      </c>
    </row>
    <row r="19" spans="1:42" ht="27.5" customHeight="1" x14ac:dyDescent="0.25">
      <c r="A19" s="331" t="s">
        <v>496</v>
      </c>
      <c r="B19" s="304">
        <v>8639000</v>
      </c>
      <c r="C19" s="83">
        <v>7119000</v>
      </c>
      <c r="D19" s="83">
        <v>5453000</v>
      </c>
      <c r="E19" s="83">
        <v>5214000</v>
      </c>
      <c r="F19" s="83">
        <v>0</v>
      </c>
      <c r="G19" s="304">
        <f t="shared" si="1"/>
        <v>17786000</v>
      </c>
      <c r="H19" s="83">
        <v>0</v>
      </c>
      <c r="I19" s="83">
        <v>2122000</v>
      </c>
      <c r="J19" s="83">
        <v>700000</v>
      </c>
      <c r="K19" s="83">
        <v>-705000</v>
      </c>
      <c r="L19" s="315">
        <f t="shared" si="2"/>
        <v>2117000</v>
      </c>
      <c r="M19" s="83">
        <v>0</v>
      </c>
      <c r="N19" s="83">
        <v>0</v>
      </c>
      <c r="O19" s="83">
        <v>0</v>
      </c>
      <c r="P19" s="83">
        <v>0</v>
      </c>
      <c r="Q19" s="304">
        <f t="shared" si="3"/>
        <v>0</v>
      </c>
      <c r="R19" s="83">
        <v>3605000</v>
      </c>
      <c r="S19" s="83">
        <v>258000</v>
      </c>
      <c r="T19" s="83">
        <v>0</v>
      </c>
      <c r="U19" s="83">
        <v>0</v>
      </c>
      <c r="V19" s="304">
        <f t="shared" si="4"/>
        <v>3863000</v>
      </c>
      <c r="W19" s="83">
        <v>0</v>
      </c>
      <c r="X19" s="83">
        <v>0</v>
      </c>
      <c r="Y19" s="83">
        <v>0</v>
      </c>
      <c r="Z19" s="83">
        <v>0</v>
      </c>
      <c r="AA19" s="304">
        <f t="shared" si="5"/>
        <v>0</v>
      </c>
      <c r="AB19" s="83">
        <v>0</v>
      </c>
      <c r="AC19" s="83">
        <v>1250000</v>
      </c>
      <c r="AD19" s="83">
        <v>4112000</v>
      </c>
      <c r="AE19" s="83">
        <v>3663000</v>
      </c>
      <c r="AF19" s="304">
        <f t="shared" si="6"/>
        <v>9025000</v>
      </c>
      <c r="AG19" s="83">
        <f>+'1.Input NG EPS trend'!AF26</f>
        <v>1875000</v>
      </c>
      <c r="AH19" s="83">
        <f>+'1.Input NG EPS trend'!AG26</f>
        <v>0</v>
      </c>
      <c r="AI19" s="83">
        <f>+'1.Input NG EPS trend'!AH26</f>
        <v>0</v>
      </c>
      <c r="AJ19" s="83">
        <f>+'1.Input NG EPS trend'!AI26</f>
        <v>0</v>
      </c>
      <c r="AK19" s="304">
        <f t="shared" si="7"/>
        <v>1875000</v>
      </c>
      <c r="AL19" s="83">
        <f>+'1.Input NG EPS trend'!Z26</f>
        <v>0</v>
      </c>
      <c r="AM19" s="83">
        <f>+'1.Input NG EPS trend'!AA26</f>
        <v>0</v>
      </c>
      <c r="AN19" s="83">
        <f>+'1.Input NG EPS trend'!AB26</f>
        <v>0</v>
      </c>
      <c r="AO19" s="83">
        <f>+'1.Input NG EPS trend'!AC26</f>
        <v>0</v>
      </c>
      <c r="AP19" s="304">
        <f t="shared" si="8"/>
        <v>0</v>
      </c>
    </row>
    <row r="20" spans="1:42" ht="27.5" customHeight="1" x14ac:dyDescent="0.25">
      <c r="A20" s="331" t="s">
        <v>497</v>
      </c>
      <c r="B20" s="304">
        <v>0</v>
      </c>
      <c r="C20" s="83">
        <v>0</v>
      </c>
      <c r="D20" s="83">
        <v>0</v>
      </c>
      <c r="E20" s="83">
        <v>0</v>
      </c>
      <c r="F20" s="83">
        <v>0</v>
      </c>
      <c r="G20" s="304">
        <f t="shared" si="1"/>
        <v>0</v>
      </c>
      <c r="H20" s="83">
        <v>0</v>
      </c>
      <c r="I20" s="83">
        <v>0</v>
      </c>
      <c r="J20" s="83">
        <v>1959000</v>
      </c>
      <c r="K20" s="83">
        <v>1853000</v>
      </c>
      <c r="L20" s="315">
        <f t="shared" si="2"/>
        <v>3812000</v>
      </c>
      <c r="M20" s="83">
        <v>1906000</v>
      </c>
      <c r="N20" s="83">
        <v>1663000</v>
      </c>
      <c r="O20" s="83">
        <v>0</v>
      </c>
      <c r="P20" s="83">
        <v>0</v>
      </c>
      <c r="Q20" s="304">
        <f t="shared" si="3"/>
        <v>3569000</v>
      </c>
      <c r="R20" s="83">
        <v>0</v>
      </c>
      <c r="S20" s="83">
        <v>0</v>
      </c>
      <c r="T20" s="83">
        <v>0</v>
      </c>
      <c r="U20" s="83">
        <v>0</v>
      </c>
      <c r="V20" s="304">
        <f t="shared" si="4"/>
        <v>0</v>
      </c>
      <c r="W20" s="83">
        <v>0</v>
      </c>
      <c r="X20" s="83">
        <v>0</v>
      </c>
      <c r="Y20" s="83">
        <v>0</v>
      </c>
      <c r="Z20" s="83">
        <v>0</v>
      </c>
      <c r="AA20" s="304">
        <f t="shared" si="5"/>
        <v>0</v>
      </c>
      <c r="AB20" s="83">
        <v>0</v>
      </c>
      <c r="AC20" s="83">
        <v>0</v>
      </c>
      <c r="AD20" s="83">
        <v>0</v>
      </c>
      <c r="AE20" s="83">
        <v>0</v>
      </c>
      <c r="AF20" s="304">
        <f t="shared" si="6"/>
        <v>0</v>
      </c>
      <c r="AG20" s="83">
        <f>+'1.Input NG EPS trend'!AF24</f>
        <v>0</v>
      </c>
      <c r="AH20" s="83">
        <f>+'1.Input NG EPS trend'!AG24</f>
        <v>0</v>
      </c>
      <c r="AI20" s="83">
        <f>+'1.Input NG EPS trend'!AH24</f>
        <v>0</v>
      </c>
      <c r="AJ20" s="83">
        <f>+'1.Input NG EPS trend'!AI24</f>
        <v>0</v>
      </c>
      <c r="AK20" s="304">
        <f t="shared" si="7"/>
        <v>0</v>
      </c>
      <c r="AL20" s="83">
        <f>+'1.Input NG EPS trend'!Z24</f>
        <v>0</v>
      </c>
      <c r="AM20" s="83">
        <f>+'1.Input NG EPS trend'!AA24</f>
        <v>0</v>
      </c>
      <c r="AN20" s="83">
        <f>+'1.Input NG EPS trend'!AB24</f>
        <v>0</v>
      </c>
      <c r="AO20" s="83">
        <f>+'1.Input NG EPS trend'!AC24</f>
        <v>0</v>
      </c>
      <c r="AP20" s="304">
        <f t="shared" si="8"/>
        <v>0</v>
      </c>
    </row>
    <row r="21" spans="1:42" ht="27.5" customHeight="1" x14ac:dyDescent="0.25">
      <c r="A21" s="332" t="s">
        <v>290</v>
      </c>
      <c r="B21" s="297">
        <v>0</v>
      </c>
      <c r="C21" s="255">
        <v>0</v>
      </c>
      <c r="D21" s="255">
        <v>0</v>
      </c>
      <c r="E21" s="255">
        <v>0</v>
      </c>
      <c r="F21" s="255">
        <v>0</v>
      </c>
      <c r="G21" s="297">
        <f t="shared" si="1"/>
        <v>0</v>
      </c>
      <c r="H21" s="255">
        <v>0</v>
      </c>
      <c r="I21" s="255">
        <v>0</v>
      </c>
      <c r="J21" s="255">
        <v>0</v>
      </c>
      <c r="K21" s="255">
        <v>0</v>
      </c>
      <c r="L21" s="355">
        <f t="shared" si="2"/>
        <v>0</v>
      </c>
      <c r="M21" s="255">
        <v>0</v>
      </c>
      <c r="N21" s="255">
        <v>0</v>
      </c>
      <c r="O21" s="255">
        <v>0</v>
      </c>
      <c r="P21" s="255">
        <v>0</v>
      </c>
      <c r="Q21" s="297">
        <f t="shared" si="3"/>
        <v>0</v>
      </c>
      <c r="R21" s="255">
        <v>0</v>
      </c>
      <c r="S21" s="255">
        <v>0</v>
      </c>
      <c r="T21" s="255">
        <v>0</v>
      </c>
      <c r="U21" s="255">
        <v>0</v>
      </c>
      <c r="V21" s="297">
        <f t="shared" si="4"/>
        <v>0</v>
      </c>
      <c r="W21" s="255">
        <v>-30052000</v>
      </c>
      <c r="X21" s="255">
        <v>0</v>
      </c>
      <c r="Y21" s="255">
        <v>-183000</v>
      </c>
      <c r="Z21" s="255">
        <v>0</v>
      </c>
      <c r="AA21" s="297">
        <f t="shared" si="5"/>
        <v>-30235000</v>
      </c>
      <c r="AB21" s="255">
        <v>0</v>
      </c>
      <c r="AC21" s="255">
        <v>0</v>
      </c>
      <c r="AD21" s="255">
        <v>0</v>
      </c>
      <c r="AE21" s="255">
        <v>0</v>
      </c>
      <c r="AF21" s="297">
        <f t="shared" si="6"/>
        <v>0</v>
      </c>
      <c r="AG21" s="255">
        <f>+'1.Input NG EPS trend'!AF27</f>
        <v>0</v>
      </c>
      <c r="AH21" s="255">
        <f>+'1.Input NG EPS trend'!AG27</f>
        <v>0</v>
      </c>
      <c r="AI21" s="255">
        <f>+'1.Input NG EPS trend'!AH27</f>
        <v>0</v>
      </c>
      <c r="AJ21" s="255">
        <f>+'1.Input NG EPS trend'!AI27</f>
        <v>0</v>
      </c>
      <c r="AK21" s="297">
        <f t="shared" si="7"/>
        <v>0</v>
      </c>
      <c r="AL21" s="255">
        <f>+'1.Input NG EPS trend'!Z27</f>
        <v>0</v>
      </c>
      <c r="AM21" s="255">
        <f>+'1.Input NG EPS trend'!AA27</f>
        <v>0</v>
      </c>
      <c r="AN21" s="255">
        <f>+'1.Input NG EPS trend'!AB27</f>
        <v>0</v>
      </c>
      <c r="AO21" s="255">
        <f>+'1.Input NG EPS trend'!AC27</f>
        <v>0</v>
      </c>
      <c r="AP21" s="297">
        <f t="shared" si="8"/>
        <v>0</v>
      </c>
    </row>
    <row r="22" spans="1:42" ht="27.5" customHeight="1" x14ac:dyDescent="0.3">
      <c r="A22" s="356" t="s">
        <v>498</v>
      </c>
      <c r="B22" s="357">
        <f t="shared" ref="B22:AP22" si="9">SUM(B16:B21)</f>
        <v>71724000</v>
      </c>
      <c r="C22" s="358">
        <f t="shared" si="9"/>
        <v>25475000</v>
      </c>
      <c r="D22" s="358">
        <f t="shared" si="9"/>
        <v>27455000</v>
      </c>
      <c r="E22" s="358">
        <f t="shared" si="9"/>
        <v>23681000</v>
      </c>
      <c r="F22" s="358">
        <f t="shared" si="9"/>
        <v>20660000</v>
      </c>
      <c r="G22" s="357">
        <f t="shared" si="9"/>
        <v>97271000</v>
      </c>
      <c r="H22" s="358">
        <f t="shared" si="9"/>
        <v>23769000</v>
      </c>
      <c r="I22" s="358">
        <f t="shared" si="9"/>
        <v>23826000</v>
      </c>
      <c r="J22" s="358">
        <f t="shared" si="9"/>
        <v>37143000</v>
      </c>
      <c r="K22" s="358">
        <f t="shared" si="9"/>
        <v>59704000</v>
      </c>
      <c r="L22" s="357">
        <f t="shared" si="9"/>
        <v>144442000</v>
      </c>
      <c r="M22" s="358">
        <f t="shared" si="9"/>
        <v>25935000</v>
      </c>
      <c r="N22" s="358">
        <f t="shared" si="9"/>
        <v>30431000</v>
      </c>
      <c r="O22" s="358">
        <f t="shared" si="9"/>
        <v>35897000</v>
      </c>
      <c r="P22" s="358">
        <f t="shared" si="9"/>
        <v>24796000</v>
      </c>
      <c r="Q22" s="357">
        <f t="shared" si="9"/>
        <v>117059000</v>
      </c>
      <c r="R22" s="358">
        <f t="shared" si="9"/>
        <v>27391000</v>
      </c>
      <c r="S22" s="358">
        <f t="shared" si="9"/>
        <v>28193000</v>
      </c>
      <c r="T22" s="358">
        <f t="shared" si="9"/>
        <v>28101000</v>
      </c>
      <c r="U22" s="358">
        <f t="shared" si="9"/>
        <v>52646000</v>
      </c>
      <c r="V22" s="357">
        <f t="shared" si="9"/>
        <v>136331000</v>
      </c>
      <c r="W22" s="358">
        <f t="shared" si="9"/>
        <v>-5633000</v>
      </c>
      <c r="X22" s="358">
        <f t="shared" si="9"/>
        <v>23851000</v>
      </c>
      <c r="Y22" s="358">
        <f t="shared" si="9"/>
        <v>28222000</v>
      </c>
      <c r="Z22" s="358">
        <f t="shared" si="9"/>
        <v>30772000</v>
      </c>
      <c r="AA22" s="357">
        <f t="shared" si="9"/>
        <v>77212000</v>
      </c>
      <c r="AB22" s="358">
        <f t="shared" si="9"/>
        <v>29607000</v>
      </c>
      <c r="AC22" s="358">
        <f t="shared" si="9"/>
        <v>46291000</v>
      </c>
      <c r="AD22" s="358">
        <f t="shared" si="9"/>
        <v>49688000</v>
      </c>
      <c r="AE22" s="358">
        <f t="shared" si="9"/>
        <v>61380000</v>
      </c>
      <c r="AF22" s="357">
        <f t="shared" si="9"/>
        <v>186966000</v>
      </c>
      <c r="AG22" s="358">
        <f t="shared" si="9"/>
        <v>18573000</v>
      </c>
      <c r="AH22" s="358">
        <f t="shared" si="9"/>
        <v>23526000</v>
      </c>
      <c r="AI22" s="358">
        <f t="shared" si="9"/>
        <v>21180000</v>
      </c>
      <c r="AJ22" s="358">
        <f t="shared" si="9"/>
        <v>30393000</v>
      </c>
      <c r="AK22" s="357">
        <f t="shared" si="9"/>
        <v>93672000</v>
      </c>
      <c r="AL22" s="358">
        <f t="shared" si="9"/>
        <v>32037000</v>
      </c>
      <c r="AM22" s="358">
        <f t="shared" si="9"/>
        <v>33213000</v>
      </c>
      <c r="AN22" s="358">
        <f t="shared" si="9"/>
        <v>30595000</v>
      </c>
      <c r="AO22" s="358">
        <f t="shared" si="9"/>
        <v>0</v>
      </c>
      <c r="AP22" s="357">
        <f t="shared" si="9"/>
        <v>95845000</v>
      </c>
    </row>
    <row r="23" spans="1:42" ht="15" customHeight="1" x14ac:dyDescent="0.25">
      <c r="B23" s="319"/>
      <c r="G23" s="319"/>
      <c r="L23" s="319"/>
      <c r="Q23" s="319"/>
      <c r="V23" s="319"/>
      <c r="AA23" s="319"/>
      <c r="AF23" s="319"/>
      <c r="AK23" s="319"/>
      <c r="AP23" s="319"/>
    </row>
    <row r="24" spans="1:42" ht="27.5" customHeight="1" x14ac:dyDescent="0.25">
      <c r="A24" s="81" t="s">
        <v>499</v>
      </c>
      <c r="B24" s="304">
        <v>-59036000</v>
      </c>
      <c r="C24" s="83">
        <v>-14924000</v>
      </c>
      <c r="D24" s="83">
        <v>-10415000</v>
      </c>
      <c r="E24" s="83">
        <v>-3576000</v>
      </c>
      <c r="F24" s="83">
        <v>-6836000</v>
      </c>
      <c r="G24" s="304">
        <f>SUM(C24:F24)</f>
        <v>-35751000</v>
      </c>
      <c r="H24" s="83">
        <v>-5477000</v>
      </c>
      <c r="I24" s="83">
        <v>-14654000</v>
      </c>
      <c r="J24" s="83">
        <v>-664000</v>
      </c>
      <c r="K24" s="83">
        <v>-14119000</v>
      </c>
      <c r="L24" s="304">
        <f>SUM(H24:K24)</f>
        <v>-34914000</v>
      </c>
      <c r="M24" s="83">
        <v>-16558000</v>
      </c>
      <c r="N24" s="83">
        <v>-15062000</v>
      </c>
      <c r="O24" s="83">
        <v>-2430000</v>
      </c>
      <c r="P24" s="83">
        <v>-14428000</v>
      </c>
      <c r="Q24" s="304">
        <f>SUM(M24:P24)</f>
        <v>-48478000</v>
      </c>
      <c r="R24" s="83">
        <v>1847000</v>
      </c>
      <c r="S24" s="83">
        <v>1116000</v>
      </c>
      <c r="T24" s="83">
        <v>12234000</v>
      </c>
      <c r="U24" s="83">
        <v>334000</v>
      </c>
      <c r="V24" s="304">
        <f>SUM(R24:U24)</f>
        <v>15531000</v>
      </c>
      <c r="W24" s="83">
        <v>7367000</v>
      </c>
      <c r="X24" s="83">
        <v>17819000</v>
      </c>
      <c r="Y24" s="83">
        <v>14195000</v>
      </c>
      <c r="Z24" s="83">
        <v>2756000</v>
      </c>
      <c r="AA24" s="304">
        <f>SUM(W24:Z24)</f>
        <v>42137000</v>
      </c>
      <c r="AB24" s="83">
        <v>4704000</v>
      </c>
      <c r="AC24" s="83">
        <v>19417000</v>
      </c>
      <c r="AD24" s="83">
        <v>25003000</v>
      </c>
      <c r="AE24" s="83">
        <v>18988000</v>
      </c>
      <c r="AF24" s="304">
        <f>SUM(AB24:AE24)</f>
        <v>68112000</v>
      </c>
      <c r="AG24" s="83">
        <f>+AG7+AG22</f>
        <v>25692000</v>
      </c>
      <c r="AH24" s="83">
        <f>+AH7+AH22</f>
        <v>38165000</v>
      </c>
      <c r="AI24" s="83">
        <f>+AI7+AI22</f>
        <v>42988000</v>
      </c>
      <c r="AJ24" s="83">
        <f>+AJ7+AJ22</f>
        <v>21188000</v>
      </c>
      <c r="AK24" s="304">
        <f>SUM(AG24:AJ24)</f>
        <v>128033000</v>
      </c>
      <c r="AL24" s="83">
        <f>+AL7+AL22</f>
        <v>31233000</v>
      </c>
      <c r="AM24" s="83">
        <f>+AM7+AM22</f>
        <v>44897000</v>
      </c>
      <c r="AN24" s="83">
        <f>+AN7+AN22</f>
        <v>49301000</v>
      </c>
      <c r="AO24" s="83">
        <f>+AO7+AO22</f>
        <v>0</v>
      </c>
      <c r="AP24" s="304">
        <f>SUM(AL24:AO24)</f>
        <v>125431000</v>
      </c>
    </row>
    <row r="25" spans="1:42" ht="16.649999999999999" customHeight="1" x14ac:dyDescent="0.25">
      <c r="A25" s="338" t="s">
        <v>436</v>
      </c>
      <c r="B25" s="297">
        <v>-22797000</v>
      </c>
      <c r="C25" s="255">
        <v>-4556000</v>
      </c>
      <c r="D25" s="255">
        <v>-3164000</v>
      </c>
      <c r="E25" s="255">
        <v>-2514000</v>
      </c>
      <c r="F25" s="255">
        <v>-2352000</v>
      </c>
      <c r="G25" s="297">
        <f>SUM(C25:F25)</f>
        <v>-12586000</v>
      </c>
      <c r="H25" s="255">
        <v>-1078000</v>
      </c>
      <c r="I25" s="255">
        <v>-3790000</v>
      </c>
      <c r="J25" s="255">
        <v>-2941000</v>
      </c>
      <c r="K25" s="255">
        <v>-5155000</v>
      </c>
      <c r="L25" s="297">
        <f>SUM(H25:K25)</f>
        <v>-12964000</v>
      </c>
      <c r="M25" s="255">
        <v>-216000</v>
      </c>
      <c r="N25" s="255">
        <v>190000</v>
      </c>
      <c r="O25" s="255">
        <v>-227000</v>
      </c>
      <c r="P25" s="255">
        <v>-11199000</v>
      </c>
      <c r="Q25" s="297">
        <f>SUM(M25:P25)</f>
        <v>-11452000</v>
      </c>
      <c r="R25" s="255">
        <v>934000</v>
      </c>
      <c r="S25" s="255">
        <v>-1291000</v>
      </c>
      <c r="T25" s="255">
        <v>2347000</v>
      </c>
      <c r="U25" s="255">
        <v>-2628000</v>
      </c>
      <c r="V25" s="297">
        <f>SUM(R25:U25)</f>
        <v>-638000</v>
      </c>
      <c r="W25" s="255">
        <v>865000</v>
      </c>
      <c r="X25" s="255">
        <v>-12000</v>
      </c>
      <c r="Y25" s="255">
        <v>4271000</v>
      </c>
      <c r="Z25" s="255">
        <v>3391000</v>
      </c>
      <c r="AA25" s="297">
        <f>SUM(W25:Z25)</f>
        <v>8515000</v>
      </c>
      <c r="AB25" s="255">
        <v>1237000</v>
      </c>
      <c r="AC25" s="255">
        <v>4557000</v>
      </c>
      <c r="AD25" s="255">
        <v>6468000</v>
      </c>
      <c r="AE25" s="255">
        <v>-2141000</v>
      </c>
      <c r="AF25" s="297">
        <f>SUM(AB25:AE25)</f>
        <v>10121000</v>
      </c>
      <c r="AG25" s="255">
        <f>+'1.Input NG EPS trend'!AF31</f>
        <v>6167000</v>
      </c>
      <c r="AH25" s="255">
        <f>+'1.Input NG EPS trend'!AG31</f>
        <v>9036000</v>
      </c>
      <c r="AI25" s="255">
        <f>+'1.Input NG EPS trend'!AH31</f>
        <v>10732000</v>
      </c>
      <c r="AJ25" s="255">
        <f>+'1.Input NG EPS trend'!AI31</f>
        <v>3947000</v>
      </c>
      <c r="AK25" s="297">
        <f>SUM(AG25:AJ25)</f>
        <v>29882000</v>
      </c>
      <c r="AL25" s="255">
        <f>+'1.Input NG EPS trend'!Z31</f>
        <v>7371000</v>
      </c>
      <c r="AM25" s="255">
        <f>+'1.Input NG EPS trend'!AA31</f>
        <v>10745000</v>
      </c>
      <c r="AN25" s="255">
        <f>+'1.Input NG EPS trend'!AB31</f>
        <v>12421000</v>
      </c>
      <c r="AO25" s="255">
        <f>+'1.Input NG EPS trend'!AC31</f>
        <v>0</v>
      </c>
      <c r="AP25" s="297">
        <f>SUM(AL25:AO25)</f>
        <v>30537000</v>
      </c>
    </row>
    <row r="26" spans="1:42" ht="27.5" customHeight="1" x14ac:dyDescent="0.3">
      <c r="A26" s="44" t="s">
        <v>500</v>
      </c>
      <c r="B26" s="333">
        <f t="shared" ref="B26:AP26" si="10">+B24-B25</f>
        <v>-36239000</v>
      </c>
      <c r="C26" s="334">
        <f t="shared" si="10"/>
        <v>-10368000</v>
      </c>
      <c r="D26" s="334">
        <f t="shared" si="10"/>
        <v>-7251000</v>
      </c>
      <c r="E26" s="334">
        <f t="shared" si="10"/>
        <v>-1062000</v>
      </c>
      <c r="F26" s="334">
        <f t="shared" si="10"/>
        <v>-4484000</v>
      </c>
      <c r="G26" s="333">
        <f t="shared" si="10"/>
        <v>-23165000</v>
      </c>
      <c r="H26" s="334">
        <f t="shared" si="10"/>
        <v>-4399000</v>
      </c>
      <c r="I26" s="334">
        <f t="shared" si="10"/>
        <v>-10864000</v>
      </c>
      <c r="J26" s="334">
        <f t="shared" si="10"/>
        <v>2277000</v>
      </c>
      <c r="K26" s="334">
        <f t="shared" si="10"/>
        <v>-8964000</v>
      </c>
      <c r="L26" s="333">
        <f t="shared" si="10"/>
        <v>-21950000</v>
      </c>
      <c r="M26" s="334">
        <f t="shared" si="10"/>
        <v>-16342000</v>
      </c>
      <c r="N26" s="334">
        <f t="shared" si="10"/>
        <v>-15252000</v>
      </c>
      <c r="O26" s="334">
        <f t="shared" si="10"/>
        <v>-2203000</v>
      </c>
      <c r="P26" s="334">
        <f t="shared" si="10"/>
        <v>-3229000</v>
      </c>
      <c r="Q26" s="333">
        <f t="shared" si="10"/>
        <v>-37026000</v>
      </c>
      <c r="R26" s="334">
        <f t="shared" si="10"/>
        <v>913000</v>
      </c>
      <c r="S26" s="334">
        <f t="shared" si="10"/>
        <v>2407000</v>
      </c>
      <c r="T26" s="334">
        <f t="shared" si="10"/>
        <v>9887000</v>
      </c>
      <c r="U26" s="334">
        <f t="shared" si="10"/>
        <v>2962000</v>
      </c>
      <c r="V26" s="333">
        <f t="shared" si="10"/>
        <v>16169000</v>
      </c>
      <c r="W26" s="334">
        <f t="shared" si="10"/>
        <v>6502000</v>
      </c>
      <c r="X26" s="334">
        <f t="shared" si="10"/>
        <v>17831000</v>
      </c>
      <c r="Y26" s="334">
        <f t="shared" si="10"/>
        <v>9924000</v>
      </c>
      <c r="Z26" s="334">
        <f t="shared" si="10"/>
        <v>-635000</v>
      </c>
      <c r="AA26" s="333">
        <f t="shared" si="10"/>
        <v>33622000</v>
      </c>
      <c r="AB26" s="334">
        <f t="shared" si="10"/>
        <v>3467000</v>
      </c>
      <c r="AC26" s="334">
        <f t="shared" si="10"/>
        <v>14860000</v>
      </c>
      <c r="AD26" s="334">
        <f t="shared" si="10"/>
        <v>18535000</v>
      </c>
      <c r="AE26" s="334">
        <f t="shared" si="10"/>
        <v>21129000</v>
      </c>
      <c r="AF26" s="333">
        <f t="shared" si="10"/>
        <v>57991000</v>
      </c>
      <c r="AG26" s="334">
        <f t="shared" si="10"/>
        <v>19525000</v>
      </c>
      <c r="AH26" s="334">
        <f t="shared" si="10"/>
        <v>29129000</v>
      </c>
      <c r="AI26" s="334">
        <f t="shared" si="10"/>
        <v>32256000</v>
      </c>
      <c r="AJ26" s="334">
        <f t="shared" si="10"/>
        <v>17241000</v>
      </c>
      <c r="AK26" s="333">
        <f t="shared" si="10"/>
        <v>98151000</v>
      </c>
      <c r="AL26" s="334">
        <f t="shared" si="10"/>
        <v>23862000</v>
      </c>
      <c r="AM26" s="334">
        <f t="shared" si="10"/>
        <v>34152000</v>
      </c>
      <c r="AN26" s="334">
        <f t="shared" si="10"/>
        <v>36880000</v>
      </c>
      <c r="AO26" s="334">
        <f t="shared" si="10"/>
        <v>0</v>
      </c>
      <c r="AP26" s="333">
        <f t="shared" si="10"/>
        <v>94894000</v>
      </c>
    </row>
    <row r="27" spans="1:42" ht="15" customHeight="1" x14ac:dyDescent="0.25">
      <c r="B27" s="319"/>
      <c r="G27" s="319"/>
      <c r="L27" s="319"/>
      <c r="Q27" s="319"/>
      <c r="V27" s="319"/>
      <c r="AA27" s="319"/>
      <c r="AF27" s="319"/>
      <c r="AK27" s="319"/>
      <c r="AP27" s="319"/>
    </row>
    <row r="28" spans="1:42" ht="27.5" customHeight="1" x14ac:dyDescent="0.3">
      <c r="A28" s="2" t="s">
        <v>501</v>
      </c>
      <c r="B28" s="309">
        <v>-0.47</v>
      </c>
      <c r="C28" s="98">
        <v>-0.13</v>
      </c>
      <c r="D28" s="98">
        <v>-0.09</v>
      </c>
      <c r="E28" s="98">
        <v>-0.01</v>
      </c>
      <c r="F28" s="98">
        <v>-0.06</v>
      </c>
      <c r="G28" s="309">
        <v>-0.28999999999999998</v>
      </c>
      <c r="H28" s="98">
        <v>-0.06</v>
      </c>
      <c r="I28" s="98">
        <v>-0.14000000000000001</v>
      </c>
      <c r="J28" s="98">
        <v>0.03</v>
      </c>
      <c r="K28" s="98">
        <v>-0.13</v>
      </c>
      <c r="L28" s="309">
        <v>-0.28999999999999998</v>
      </c>
      <c r="M28" s="98">
        <v>-0.24</v>
      </c>
      <c r="N28" s="98">
        <v>-0.23</v>
      </c>
      <c r="O28" s="98">
        <v>-0.03</v>
      </c>
      <c r="P28" s="98">
        <v>-0.05</v>
      </c>
      <c r="Q28" s="309">
        <v>-0.55000000000000004</v>
      </c>
      <c r="R28" s="98">
        <v>0.01</v>
      </c>
      <c r="S28" s="98">
        <v>0.03</v>
      </c>
      <c r="T28" s="98">
        <v>0.14000000000000001</v>
      </c>
      <c r="U28" s="98">
        <v>0.04</v>
      </c>
      <c r="V28" s="309">
        <v>0.23</v>
      </c>
      <c r="W28" s="98">
        <v>0.09</v>
      </c>
      <c r="X28" s="98">
        <v>0.26</v>
      </c>
      <c r="Y28" s="98">
        <v>0.14000000000000001</v>
      </c>
      <c r="Z28" s="98">
        <v>-0.01</v>
      </c>
      <c r="AA28" s="309">
        <v>0.48</v>
      </c>
      <c r="AB28" s="98">
        <v>0.05</v>
      </c>
      <c r="AC28" s="98">
        <v>0.22</v>
      </c>
      <c r="AD28" s="98">
        <v>0.28000000000000003</v>
      </c>
      <c r="AE28" s="98">
        <v>0.32</v>
      </c>
      <c r="AF28" s="309">
        <v>0.86</v>
      </c>
      <c r="AG28" s="98">
        <f>+'1.Input NG EPS trend'!AF36</f>
        <v>0.28974001305870484</v>
      </c>
      <c r="AH28" s="98">
        <f>+'1.Input NG EPS trend'!AG36</f>
        <v>0.42920080155596158</v>
      </c>
      <c r="AI28" s="98">
        <f>+'1.Input NG EPS trend'!AH36</f>
        <v>0.47475089413184579</v>
      </c>
      <c r="AJ28" s="98">
        <f>+'1.Input NG EPS trend'!AI36</f>
        <v>0.25180003213039098</v>
      </c>
      <c r="AK28" s="309">
        <f>+'1.Input NG EPS trend'!AJ36</f>
        <v>1.4451397273182367</v>
      </c>
      <c r="AL28" s="98">
        <f>+'1.Input NG EPS trend'!Z36</f>
        <v>0.34853862670347485</v>
      </c>
      <c r="AM28" s="98">
        <f>+'1.Input NG EPS trend'!AA36</f>
        <v>0.50739128496932062</v>
      </c>
      <c r="AN28" s="98">
        <f>+'1.Input NG EPS trend'!AB36</f>
        <v>0.5525673104295582</v>
      </c>
      <c r="AO28" s="98">
        <f>+'1.Input NG EPS trend'!AC36</f>
        <v>0</v>
      </c>
      <c r="AP28" s="309">
        <f>+'1.Input NG EPS trend'!AD36</f>
        <v>1.4057329086734316</v>
      </c>
    </row>
    <row r="29" spans="1:42" ht="15" customHeight="1" x14ac:dyDescent="0.25">
      <c r="B29" s="319"/>
      <c r="G29" s="319"/>
      <c r="L29" s="319"/>
      <c r="Q29" s="319"/>
      <c r="V29" s="319"/>
      <c r="AA29" s="319"/>
      <c r="AF29" s="319"/>
      <c r="AK29" s="319"/>
      <c r="AP29" s="319"/>
    </row>
    <row r="30" spans="1:42" ht="16.649999999999999" customHeight="1" x14ac:dyDescent="0.25">
      <c r="A30" s="66" t="s">
        <v>198</v>
      </c>
      <c r="B30" s="304">
        <v>77609000</v>
      </c>
      <c r="C30" s="83">
        <v>78672000</v>
      </c>
      <c r="D30" s="83">
        <v>79235000</v>
      </c>
      <c r="E30" s="83">
        <v>79043000</v>
      </c>
      <c r="F30" s="83">
        <v>78614000</v>
      </c>
      <c r="G30" s="304">
        <v>78891000</v>
      </c>
      <c r="H30" s="83">
        <v>76935000</v>
      </c>
      <c r="I30" s="83">
        <v>77448000</v>
      </c>
      <c r="J30" s="83">
        <v>77398000</v>
      </c>
      <c r="K30" s="83">
        <v>68299000</v>
      </c>
      <c r="L30" s="304">
        <v>75020000</v>
      </c>
      <c r="M30" s="83">
        <v>68906000</v>
      </c>
      <c r="N30" s="83">
        <v>67684000</v>
      </c>
      <c r="O30" s="83">
        <v>67473000</v>
      </c>
      <c r="P30" s="83">
        <v>66977000</v>
      </c>
      <c r="Q30" s="304">
        <v>67760000</v>
      </c>
      <c r="R30" s="83">
        <v>65570000</v>
      </c>
      <c r="S30" s="83">
        <v>66010000</v>
      </c>
      <c r="T30" s="83">
        <v>66523000</v>
      </c>
      <c r="U30" s="83">
        <v>67111000</v>
      </c>
      <c r="V30" s="304">
        <v>66304000</v>
      </c>
      <c r="W30" s="83">
        <v>68328000</v>
      </c>
      <c r="X30" s="83">
        <v>68042000</v>
      </c>
      <c r="Y30" s="83">
        <v>68190000</v>
      </c>
      <c r="Z30" s="83">
        <v>68283000</v>
      </c>
      <c r="AA30" s="304">
        <v>68211000</v>
      </c>
      <c r="AB30" s="83">
        <v>68403000</v>
      </c>
      <c r="AC30" s="83">
        <v>67096000</v>
      </c>
      <c r="AD30" s="83">
        <v>64784000</v>
      </c>
      <c r="AE30" s="83">
        <v>65126000</v>
      </c>
      <c r="AF30" s="304">
        <v>66352000</v>
      </c>
      <c r="AG30" s="83">
        <f>+'1.Input NG EPS trend'!AF38</f>
        <v>66497000</v>
      </c>
      <c r="AH30" s="83">
        <f>+'1.Input NG EPS trend'!AG38</f>
        <v>66284000</v>
      </c>
      <c r="AI30" s="83">
        <f>+'1.Input NG EPS trend'!AH38</f>
        <v>65961000</v>
      </c>
      <c r="AJ30" s="83">
        <f>+'1.Input NG EPS trend'!AI38</f>
        <v>66323000</v>
      </c>
      <c r="AK30" s="304">
        <f>+'1.Input NG EPS trend'!AJ38</f>
        <v>66266000</v>
      </c>
      <c r="AL30" s="83">
        <f>+'1.Input NG EPS trend'!Z38</f>
        <v>66621000</v>
      </c>
      <c r="AM30" s="83">
        <f>+'1.Input NG EPS trend'!AA38</f>
        <v>66294000</v>
      </c>
      <c r="AN30" s="83">
        <f>+'1.Input NG EPS trend'!AB38</f>
        <v>65631000</v>
      </c>
      <c r="AO30" s="83">
        <f>+'1.Input NG EPS trend'!AC38</f>
        <v>0</v>
      </c>
      <c r="AP30" s="304">
        <f>+'1.Input NG EPS trend'!AD38</f>
        <v>66182000</v>
      </c>
    </row>
    <row r="31" spans="1:42" ht="16.649999999999999" customHeight="1" x14ac:dyDescent="0.25">
      <c r="A31" s="66" t="s">
        <v>418</v>
      </c>
      <c r="B31" s="304">
        <v>77609000</v>
      </c>
      <c r="C31" s="83">
        <v>78672000</v>
      </c>
      <c r="D31" s="83">
        <v>79235000</v>
      </c>
      <c r="E31" s="83">
        <v>79043000</v>
      </c>
      <c r="F31" s="83">
        <v>78614000</v>
      </c>
      <c r="G31" s="304">
        <v>78891000</v>
      </c>
      <c r="H31" s="83">
        <v>76935000</v>
      </c>
      <c r="I31" s="83">
        <v>77448000</v>
      </c>
      <c r="J31" s="83">
        <v>80674000</v>
      </c>
      <c r="K31" s="83">
        <v>68299000</v>
      </c>
      <c r="L31" s="304">
        <v>75020000</v>
      </c>
      <c r="M31" s="83">
        <v>71685000</v>
      </c>
      <c r="N31" s="83">
        <v>70092000</v>
      </c>
      <c r="O31" s="83">
        <v>69956000</v>
      </c>
      <c r="P31" s="83">
        <v>68883000</v>
      </c>
      <c r="Q31" s="304">
        <v>70154000</v>
      </c>
      <c r="R31" s="83">
        <v>67337000</v>
      </c>
      <c r="S31" s="83">
        <v>68804000</v>
      </c>
      <c r="T31" s="83">
        <v>69775000</v>
      </c>
      <c r="U31" s="83">
        <v>69935000</v>
      </c>
      <c r="V31" s="304">
        <v>68963000</v>
      </c>
      <c r="W31" s="83">
        <v>69605000</v>
      </c>
      <c r="X31" s="83">
        <v>69333000</v>
      </c>
      <c r="Y31" s="83">
        <v>69938000</v>
      </c>
      <c r="Z31" s="83">
        <v>68283000</v>
      </c>
      <c r="AA31" s="304">
        <v>69560000</v>
      </c>
      <c r="AB31" s="83">
        <v>69195000</v>
      </c>
      <c r="AC31" s="83">
        <v>67568000</v>
      </c>
      <c r="AD31" s="83">
        <v>65356000</v>
      </c>
      <c r="AE31" s="83">
        <v>66268000</v>
      </c>
      <c r="AF31" s="304">
        <v>67097000</v>
      </c>
      <c r="AG31" s="83">
        <f>+'1.Input NG EPS trend'!AF39</f>
        <v>67388000</v>
      </c>
      <c r="AH31" s="83">
        <f>+'1.Input NG EPS trend'!AG39</f>
        <v>67868000</v>
      </c>
      <c r="AI31" s="83">
        <f>+'1.Input NG EPS trend'!AH39</f>
        <v>67943000</v>
      </c>
      <c r="AJ31" s="83">
        <f>+'1.Input NG EPS trend'!AI39</f>
        <v>68471000</v>
      </c>
      <c r="AK31" s="304">
        <f>+'1.Input NG EPS trend'!AJ39</f>
        <v>67918000</v>
      </c>
      <c r="AL31" s="83">
        <f>+'1.Input NG EPS trend'!Z39</f>
        <v>68463000</v>
      </c>
      <c r="AM31" s="83">
        <f>+'1.Input NG EPS trend'!AA39</f>
        <v>67309000</v>
      </c>
      <c r="AN31" s="83">
        <f>+'1.Input NG EPS trend'!AB39</f>
        <v>66743000</v>
      </c>
      <c r="AO31" s="83">
        <f>+'1.Input NG EPS trend'!AC39</f>
        <v>0</v>
      </c>
      <c r="AP31" s="304">
        <f>+'1.Input NG EPS trend'!AD39</f>
        <v>67505000</v>
      </c>
    </row>
    <row r="32" spans="1:42" ht="15" customHeight="1" x14ac:dyDescent="0.25">
      <c r="B32" s="319"/>
      <c r="G32" s="319"/>
      <c r="L32" s="319"/>
      <c r="Q32" s="319"/>
      <c r="V32" s="319"/>
      <c r="AA32" s="319"/>
      <c r="AF32" s="319"/>
      <c r="AK32" s="319"/>
      <c r="AP32" s="319"/>
    </row>
    <row r="33" ht="15" customHeight="1" x14ac:dyDescent="0.25"/>
    <row r="34" ht="15" customHeight="1" x14ac:dyDescent="0.25"/>
    <row r="35" ht="15" customHeight="1" x14ac:dyDescent="0.25"/>
    <row r="36" ht="15" customHeight="1" x14ac:dyDescent="0.25"/>
    <row r="37" ht="15" customHeight="1" x14ac:dyDescent="0.25"/>
    <row r="38" ht="15" customHeight="1" x14ac:dyDescent="0.25"/>
  </sheetData>
  <pageMargins left="0.25" right="0.25" top="0.75" bottom="0.75" header="0.3" footer="0.3"/>
  <pageSetup scale="55"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O71"/>
  <sheetViews>
    <sheetView zoomScale="90" zoomScaleNormal="90" workbookViewId="0">
      <pane xSplit="1" ySplit="5" topLeftCell="AB6" activePane="bottomRight" state="frozen"/>
      <selection pane="topRight"/>
      <selection pane="bottomLeft"/>
      <selection pane="bottomRight" activeCell="AO1" sqref="AO1:AO1048576"/>
    </sheetView>
  </sheetViews>
  <sheetFormatPr defaultColWidth="13.08984375" defaultRowHeight="12.5" outlineLevelCol="1" x14ac:dyDescent="0.25"/>
  <cols>
    <col min="1" max="1" width="52.6328125" customWidth="1"/>
    <col min="2" max="15" width="12.90625" hidden="1" customWidth="1" outlineLevel="1"/>
    <col min="16" max="16" width="12.90625" customWidth="1" collapsed="1"/>
    <col min="17" max="20" width="12.90625" hidden="1" customWidth="1" outlineLevel="1"/>
    <col min="21" max="21" width="12.90625" customWidth="1" collapsed="1"/>
    <col min="22" max="25" width="12.90625" hidden="1" customWidth="1" outlineLevel="1"/>
    <col min="26" max="26" width="12.90625" customWidth="1" collapsed="1"/>
    <col min="27" max="39" width="12.90625" customWidth="1"/>
    <col min="40" max="41" width="12.90625" hidden="1" customWidth="1"/>
    <col min="42" max="42" width="12.90625" customWidth="1"/>
  </cols>
  <sheetData>
    <row r="1" spans="1:41" ht="34.15" customHeight="1" x14ac:dyDescent="0.25">
      <c r="A1" s="66"/>
    </row>
    <row r="2" spans="1:41" ht="16.649999999999999" customHeight="1" x14ac:dyDescent="0.3">
      <c r="A2" s="325" t="s">
        <v>502</v>
      </c>
    </row>
    <row r="3" spans="1:41" ht="16.649999999999999" customHeight="1" x14ac:dyDescent="0.25">
      <c r="A3" s="326" t="s">
        <v>503</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row>
    <row r="4" spans="1:41" ht="16.649999999999999" customHeight="1" x14ac:dyDescent="0.3">
      <c r="B4" s="186" t="s">
        <v>224</v>
      </c>
      <c r="C4" s="186" t="s">
        <v>225</v>
      </c>
      <c r="D4" s="186" t="s">
        <v>226</v>
      </c>
      <c r="E4" s="186" t="s">
        <v>227</v>
      </c>
      <c r="F4" s="185" t="s">
        <v>228</v>
      </c>
      <c r="G4" s="186" t="s">
        <v>229</v>
      </c>
      <c r="H4" s="186" t="s">
        <v>230</v>
      </c>
      <c r="I4" s="186" t="s">
        <v>231</v>
      </c>
      <c r="J4" s="186" t="s">
        <v>232</v>
      </c>
      <c r="K4" s="185" t="s">
        <v>233</v>
      </c>
      <c r="L4" s="186" t="s">
        <v>234</v>
      </c>
      <c r="M4" s="186" t="s">
        <v>235</v>
      </c>
      <c r="N4" s="186" t="s">
        <v>236</v>
      </c>
      <c r="O4" s="186" t="s">
        <v>237</v>
      </c>
      <c r="P4" s="185" t="s">
        <v>238</v>
      </c>
      <c r="Q4" s="186" t="s">
        <v>239</v>
      </c>
      <c r="R4" s="186" t="s">
        <v>240</v>
      </c>
      <c r="S4" s="186" t="s">
        <v>241</v>
      </c>
      <c r="T4" s="186" t="s">
        <v>242</v>
      </c>
      <c r="U4" s="185" t="s">
        <v>243</v>
      </c>
      <c r="V4" s="186" t="s">
        <v>244</v>
      </c>
      <c r="W4" s="186" t="s">
        <v>245</v>
      </c>
      <c r="X4" s="186" t="s">
        <v>246</v>
      </c>
      <c r="Y4" s="186" t="s">
        <v>247</v>
      </c>
      <c r="Z4" s="185" t="s">
        <v>248</v>
      </c>
      <c r="AA4" s="186" t="s">
        <v>249</v>
      </c>
      <c r="AB4" s="186" t="s">
        <v>250</v>
      </c>
      <c r="AC4" s="186" t="s">
        <v>251</v>
      </c>
      <c r="AD4" s="186" t="s">
        <v>252</v>
      </c>
      <c r="AE4" s="185" t="s">
        <v>253</v>
      </c>
      <c r="AF4" s="186" t="s">
        <v>254</v>
      </c>
      <c r="AG4" s="186" t="s">
        <v>255</v>
      </c>
      <c r="AH4" s="186" t="s">
        <v>256</v>
      </c>
      <c r="AI4" s="186" t="s">
        <v>257</v>
      </c>
      <c r="AJ4" s="185" t="s">
        <v>258</v>
      </c>
      <c r="AK4" s="186" t="s">
        <v>259</v>
      </c>
      <c r="AL4" s="186" t="s">
        <v>260</v>
      </c>
      <c r="AM4" s="186" t="s">
        <v>261</v>
      </c>
      <c r="AN4" s="186" t="s">
        <v>262</v>
      </c>
      <c r="AO4" s="185" t="s">
        <v>263</v>
      </c>
    </row>
    <row r="5" spans="1:41" ht="15" customHeight="1" x14ac:dyDescent="0.25">
      <c r="B5" s="50"/>
      <c r="C5" s="50"/>
      <c r="D5" s="50"/>
      <c r="E5" s="50"/>
      <c r="F5" s="189"/>
      <c r="G5" s="50"/>
      <c r="H5" s="50"/>
      <c r="I5" s="50"/>
      <c r="J5" s="50"/>
      <c r="K5" s="189"/>
      <c r="L5" s="50"/>
      <c r="M5" s="50"/>
      <c r="N5" s="50"/>
      <c r="O5" s="50"/>
      <c r="P5" s="189"/>
      <c r="Q5" s="50"/>
      <c r="R5" s="50"/>
      <c r="S5" s="50"/>
      <c r="T5" s="50"/>
      <c r="U5" s="189"/>
      <c r="V5" s="50"/>
      <c r="W5" s="50"/>
      <c r="X5" s="50"/>
      <c r="Y5" s="50"/>
      <c r="Z5" s="189"/>
      <c r="AA5" s="50"/>
      <c r="AB5" s="50"/>
      <c r="AC5" s="50"/>
      <c r="AD5" s="50"/>
      <c r="AE5" s="189"/>
      <c r="AF5" s="50"/>
      <c r="AG5" s="50"/>
      <c r="AH5" s="50"/>
      <c r="AI5" s="50"/>
      <c r="AJ5" s="189"/>
      <c r="AK5" s="50"/>
      <c r="AL5" s="50"/>
      <c r="AM5" s="50"/>
      <c r="AN5" s="50"/>
      <c r="AO5" s="189"/>
    </row>
    <row r="6" spans="1:41" ht="16.649999999999999" customHeight="1" x14ac:dyDescent="0.3">
      <c r="A6" s="2" t="s">
        <v>504</v>
      </c>
      <c r="B6" s="328">
        <v>-1300000</v>
      </c>
      <c r="C6" s="328">
        <v>-3336000</v>
      </c>
      <c r="D6" s="328">
        <v>22941000</v>
      </c>
      <c r="E6" s="328">
        <v>5175000</v>
      </c>
      <c r="F6" s="327">
        <f>SUM(B6:E6)</f>
        <v>23480000</v>
      </c>
      <c r="G6" s="328">
        <v>-3015000</v>
      </c>
      <c r="H6" s="328">
        <v>20623000</v>
      </c>
      <c r="I6" s="328">
        <v>1056400000</v>
      </c>
      <c r="J6" s="328">
        <v>-45461000</v>
      </c>
      <c r="K6" s="327">
        <f>SUM(G6:J6)</f>
        <v>1028547000</v>
      </c>
      <c r="L6" s="328">
        <v>-42140000</v>
      </c>
      <c r="M6" s="328">
        <v>-40202000</v>
      </c>
      <c r="N6" s="328">
        <v>-38040000</v>
      </c>
      <c r="O6" s="328">
        <v>-4129000</v>
      </c>
      <c r="P6" s="327">
        <f>SUM(L6:O6)</f>
        <v>-124511000</v>
      </c>
      <c r="Q6" s="328">
        <v>-21728000</v>
      </c>
      <c r="R6" s="328">
        <v>-23968000</v>
      </c>
      <c r="S6" s="328">
        <v>-11725000</v>
      </c>
      <c r="T6" s="328">
        <v>-32847000</v>
      </c>
      <c r="U6" s="327">
        <f>SUM(Q6:T6)</f>
        <v>-90268000</v>
      </c>
      <c r="V6" s="328">
        <v>17365000</v>
      </c>
      <c r="W6" s="328">
        <v>-6431000</v>
      </c>
      <c r="X6" s="328">
        <v>-15375000</v>
      </c>
      <c r="Y6" s="328">
        <v>-29392000</v>
      </c>
      <c r="Z6" s="327">
        <f>SUM(V6:Y6)</f>
        <v>-33833000</v>
      </c>
      <c r="AA6" s="328">
        <v>-27218000</v>
      </c>
      <c r="AB6" s="328">
        <v>-30436000</v>
      </c>
      <c r="AC6" s="328">
        <v>-29684000</v>
      </c>
      <c r="AD6" s="328">
        <v>-31364000</v>
      </c>
      <c r="AE6" s="327">
        <f>SUM(AA6:AD6)</f>
        <v>-118702000</v>
      </c>
      <c r="AF6" s="328">
        <v>-1586000</v>
      </c>
      <c r="AG6" s="328">
        <v>4863000</v>
      </c>
      <c r="AH6" s="328">
        <v>13977000</v>
      </c>
      <c r="AI6" s="328">
        <v>-5373000</v>
      </c>
      <c r="AJ6" s="327">
        <f>SUM(AF6:AI6)</f>
        <v>11881000</v>
      </c>
      <c r="AK6" s="328">
        <f>+'1.Input Cash Flow (wTrend)'!AN9</f>
        <v>-7489000</v>
      </c>
      <c r="AL6" s="328">
        <f>+'1.Input Cash Flow (wTrend)'!AO9</f>
        <v>1732000</v>
      </c>
      <c r="AM6" s="328">
        <f>+'1.Input Cash Flow (wTrend)'!AP9</f>
        <v>11210000</v>
      </c>
      <c r="AN6" s="328">
        <f>+'1.Input Cash Flow (wTrend)'!AQ9</f>
        <v>0</v>
      </c>
      <c r="AO6" s="327">
        <f>SUM(AK6:AN6)</f>
        <v>5453000</v>
      </c>
    </row>
    <row r="7" spans="1:41" ht="27.5" customHeight="1" x14ac:dyDescent="0.25">
      <c r="A7" s="81" t="str">
        <f>+'1.Input Cash Flow (wTrend)'!B10</f>
        <v>Earnings from discontinued operations, net of tax</v>
      </c>
      <c r="B7" s="83">
        <v>-24915000</v>
      </c>
      <c r="C7" s="83">
        <v>-21855000</v>
      </c>
      <c r="D7" s="83">
        <v>-19824000</v>
      </c>
      <c r="E7" s="83">
        <v>-24185000</v>
      </c>
      <c r="F7" s="304">
        <f>SUM(B7:E7)</f>
        <v>-90779000</v>
      </c>
      <c r="G7" s="83">
        <v>-24803000</v>
      </c>
      <c r="H7" s="83">
        <v>-61803000</v>
      </c>
      <c r="I7" s="83">
        <v>-1071661000</v>
      </c>
      <c r="J7" s="83">
        <v>-4227000</v>
      </c>
      <c r="K7" s="304">
        <f>SUM(G7:J7)</f>
        <v>-1162494000</v>
      </c>
      <c r="L7" s="83">
        <v>0</v>
      </c>
      <c r="M7" s="83">
        <v>0</v>
      </c>
      <c r="N7" s="83">
        <v>0</v>
      </c>
      <c r="O7" s="83">
        <v>-750000</v>
      </c>
      <c r="P7" s="304">
        <f>SUM(L7:O7)</f>
        <v>-750000</v>
      </c>
      <c r="Q7" s="83">
        <v>0</v>
      </c>
      <c r="R7" s="83">
        <v>0</v>
      </c>
      <c r="S7" s="83">
        <v>0</v>
      </c>
      <c r="T7" s="83">
        <v>0</v>
      </c>
      <c r="U7" s="304">
        <f>SUM(Q7:T7)</f>
        <v>0</v>
      </c>
      <c r="V7" s="83">
        <v>0</v>
      </c>
      <c r="W7" s="83">
        <v>0</v>
      </c>
      <c r="X7" s="83">
        <v>0</v>
      </c>
      <c r="Y7" s="83">
        <v>0</v>
      </c>
      <c r="Z7" s="304">
        <f>SUM(V7:Y7)</f>
        <v>0</v>
      </c>
      <c r="AA7" s="83">
        <v>0</v>
      </c>
      <c r="AB7" s="83">
        <v>0</v>
      </c>
      <c r="AC7" s="83">
        <v>-836000</v>
      </c>
      <c r="AD7" s="83">
        <v>-4568000</v>
      </c>
      <c r="AE7" s="304">
        <f>SUM(AA7:AD7)</f>
        <v>-5404000</v>
      </c>
      <c r="AF7" s="83">
        <v>0</v>
      </c>
      <c r="AG7" s="83">
        <v>-387000</v>
      </c>
      <c r="AH7" s="83">
        <v>-598000</v>
      </c>
      <c r="AI7" s="83">
        <v>-805000</v>
      </c>
      <c r="AJ7" s="304">
        <f>SUM(AF7:AI7)</f>
        <v>-1790000</v>
      </c>
      <c r="AK7" s="83">
        <f>+'1.Input Cash Flow (wTrend)'!AN10</f>
        <v>0</v>
      </c>
      <c r="AL7" s="83">
        <f>+'1.Input Cash Flow (wTrend)'!AO10</f>
        <v>0</v>
      </c>
      <c r="AM7" s="83">
        <f>+'1.Input Cash Flow (wTrend)'!AP10</f>
        <v>-1688000</v>
      </c>
      <c r="AN7" s="83">
        <f>+'1.Input Cash Flow (wTrend)'!AQ10</f>
        <v>0</v>
      </c>
      <c r="AO7" s="304">
        <f>SUM(AK7:AN7)</f>
        <v>-1688000</v>
      </c>
    </row>
    <row r="8" spans="1:41" ht="16.649999999999999" customHeight="1" x14ac:dyDescent="0.3">
      <c r="A8" s="2" t="str">
        <f>+'1.Input Cash Flow (wTrend)'!B11</f>
        <v>Non-cash operating activities:</v>
      </c>
      <c r="F8" s="319"/>
      <c r="K8" s="319"/>
      <c r="P8" s="319"/>
      <c r="U8" s="319"/>
      <c r="Z8" s="319"/>
      <c r="AE8" s="319"/>
      <c r="AJ8" s="319"/>
      <c r="AO8" s="319"/>
    </row>
    <row r="9" spans="1:41" ht="16.649999999999999" customHeight="1" x14ac:dyDescent="0.25">
      <c r="A9" s="81" t="str">
        <f>+'1.Input Cash Flow (wTrend)'!B12</f>
        <v>Depreciation and amortization</v>
      </c>
      <c r="B9" s="83">
        <v>9193000</v>
      </c>
      <c r="C9" s="83">
        <v>9765000</v>
      </c>
      <c r="D9" s="83">
        <v>9297000</v>
      </c>
      <c r="E9" s="83">
        <v>9392000</v>
      </c>
      <c r="F9" s="304">
        <f t="shared" ref="F9:F18" si="0">SUM(B9:E9)</f>
        <v>37647000</v>
      </c>
      <c r="G9" s="83">
        <v>9403000</v>
      </c>
      <c r="H9" s="83">
        <v>7018000</v>
      </c>
      <c r="I9" s="83">
        <v>8853000</v>
      </c>
      <c r="J9" s="83">
        <v>8508000</v>
      </c>
      <c r="K9" s="304">
        <f t="shared" ref="K9:K18" si="1">SUM(G9:J9)</f>
        <v>33782000</v>
      </c>
      <c r="L9" s="83">
        <v>8877000</v>
      </c>
      <c r="M9" s="83">
        <v>10977000</v>
      </c>
      <c r="N9" s="83">
        <v>8104000</v>
      </c>
      <c r="O9" s="83">
        <v>7943000</v>
      </c>
      <c r="P9" s="304">
        <f t="shared" ref="P9:P18" si="2">SUM(L9:O9)</f>
        <v>35901000</v>
      </c>
      <c r="Q9" s="83">
        <v>8054000</v>
      </c>
      <c r="R9" s="83">
        <v>6901000</v>
      </c>
      <c r="S9" s="83">
        <v>6509000</v>
      </c>
      <c r="T9" s="83">
        <v>6277000</v>
      </c>
      <c r="U9" s="304">
        <f t="shared" ref="U9:U18" si="3">SUM(Q9:T9)</f>
        <v>27741000</v>
      </c>
      <c r="V9" s="83">
        <v>6585000</v>
      </c>
      <c r="W9" s="83">
        <v>5819000</v>
      </c>
      <c r="X9" s="83">
        <v>5827000</v>
      </c>
      <c r="Y9" s="83">
        <v>6017000</v>
      </c>
      <c r="Z9" s="304">
        <f t="shared" ref="Z9:Z18" si="4">SUM(V9:Y9)</f>
        <v>24248000</v>
      </c>
      <c r="AA9" s="83">
        <v>5741000</v>
      </c>
      <c r="AB9" s="83">
        <v>5689000</v>
      </c>
      <c r="AC9" s="83">
        <v>5131000</v>
      </c>
      <c r="AD9" s="83">
        <v>4226000</v>
      </c>
      <c r="AE9" s="304">
        <f t="shared" ref="AE9:AE18" si="5">SUM(AA9:AD9)</f>
        <v>20787000</v>
      </c>
      <c r="AF9" s="83">
        <v>4039000</v>
      </c>
      <c r="AG9" s="83">
        <v>1864000</v>
      </c>
      <c r="AH9" s="83">
        <v>1782000</v>
      </c>
      <c r="AI9" s="83">
        <v>3823000</v>
      </c>
      <c r="AJ9" s="304">
        <f t="shared" ref="AJ9:AJ18" si="6">SUM(AF9:AI9)</f>
        <v>11508000</v>
      </c>
      <c r="AK9" s="83">
        <f>+'1.Input Cash Flow (wTrend)'!AN12</f>
        <v>4554000</v>
      </c>
      <c r="AL9" s="83">
        <f>+'1.Input Cash Flow (wTrend)'!AO12</f>
        <v>4450000</v>
      </c>
      <c r="AM9" s="83">
        <f>+'1.Input Cash Flow (wTrend)'!AP12</f>
        <v>4400000</v>
      </c>
      <c r="AN9" s="83">
        <f>+'1.Input Cash Flow (wTrend)'!AQ12</f>
        <v>0</v>
      </c>
      <c r="AO9" s="304">
        <f t="shared" ref="AO9:AO18" si="7">SUM(AK9:AN9)</f>
        <v>13404000</v>
      </c>
    </row>
    <row r="10" spans="1:41" ht="16.649999999999999" customHeight="1" x14ac:dyDescent="0.25">
      <c r="A10" s="81" t="s">
        <v>505</v>
      </c>
      <c r="B10" s="83">
        <v>-7000</v>
      </c>
      <c r="C10" s="83">
        <v>2132000</v>
      </c>
      <c r="D10" s="83">
        <v>178000</v>
      </c>
      <c r="E10" s="83">
        <v>588000</v>
      </c>
      <c r="F10" s="304">
        <f t="shared" si="0"/>
        <v>2891000</v>
      </c>
      <c r="G10" s="83">
        <v>-15000</v>
      </c>
      <c r="H10" s="83">
        <v>490000</v>
      </c>
      <c r="I10" s="83">
        <v>2870000</v>
      </c>
      <c r="J10" s="83">
        <v>115000</v>
      </c>
      <c r="K10" s="304">
        <f t="shared" si="1"/>
        <v>3460000</v>
      </c>
      <c r="L10" s="83">
        <v>85000</v>
      </c>
      <c r="M10" s="83">
        <v>-225000</v>
      </c>
      <c r="N10" s="83">
        <v>0</v>
      </c>
      <c r="O10" s="83">
        <v>1865000</v>
      </c>
      <c r="P10" s="304">
        <f t="shared" si="2"/>
        <v>1725000</v>
      </c>
      <c r="Q10" s="83">
        <v>2000</v>
      </c>
      <c r="R10" s="83">
        <v>331000</v>
      </c>
      <c r="S10" s="83">
        <v>1000</v>
      </c>
      <c r="T10" s="83">
        <v>54000</v>
      </c>
      <c r="U10" s="304">
        <f t="shared" si="3"/>
        <v>388000</v>
      </c>
      <c r="V10" s="83">
        <v>113000</v>
      </c>
      <c r="W10" s="83">
        <v>29000</v>
      </c>
      <c r="X10" s="83">
        <v>0</v>
      </c>
      <c r="Y10" s="83">
        <v>41000</v>
      </c>
      <c r="Z10" s="304">
        <f t="shared" si="4"/>
        <v>183000</v>
      </c>
      <c r="AA10" s="83">
        <v>-5000</v>
      </c>
      <c r="AB10" s="83">
        <v>2000</v>
      </c>
      <c r="AC10" s="83">
        <v>4124000</v>
      </c>
      <c r="AD10" s="83">
        <v>16000</v>
      </c>
      <c r="AE10" s="304">
        <f t="shared" si="5"/>
        <v>4137000</v>
      </c>
      <c r="AF10" s="83">
        <v>308000</v>
      </c>
      <c r="AG10" s="83">
        <v>-6000</v>
      </c>
      <c r="AH10" s="83">
        <v>911000</v>
      </c>
      <c r="AI10" s="83">
        <v>6000</v>
      </c>
      <c r="AJ10" s="304">
        <f t="shared" si="6"/>
        <v>1219000</v>
      </c>
      <c r="AK10" s="83">
        <f>+'1.Input Cash Flow (wTrend)'!AN13</f>
        <v>5000</v>
      </c>
      <c r="AL10" s="83">
        <f>+'1.Input Cash Flow (wTrend)'!AO13</f>
        <v>15000</v>
      </c>
      <c r="AM10" s="83">
        <f>+'1.Input Cash Flow (wTrend)'!AP13</f>
        <v>99000</v>
      </c>
      <c r="AN10" s="83">
        <f>+'1.Input Cash Flow (wTrend)'!AQ13</f>
        <v>0</v>
      </c>
      <c r="AO10" s="304">
        <f t="shared" si="7"/>
        <v>119000</v>
      </c>
    </row>
    <row r="11" spans="1:41" ht="16.649999999999999" customHeight="1" x14ac:dyDescent="0.25">
      <c r="A11" s="81" t="str">
        <f>+'1.Input Cash Flow (wTrend)'!B14</f>
        <v>Lease-related impairment and restructuring charges</v>
      </c>
      <c r="F11" s="304">
        <f t="shared" si="0"/>
        <v>0</v>
      </c>
      <c r="G11" s="83">
        <v>0</v>
      </c>
      <c r="H11" s="83">
        <v>0</v>
      </c>
      <c r="I11" s="83">
        <v>0</v>
      </c>
      <c r="J11" s="83">
        <v>0</v>
      </c>
      <c r="K11" s="304">
        <f t="shared" si="1"/>
        <v>0</v>
      </c>
      <c r="L11" s="83">
        <v>0</v>
      </c>
      <c r="M11" s="83">
        <v>0</v>
      </c>
      <c r="N11" s="83">
        <v>0</v>
      </c>
      <c r="O11" s="83">
        <v>0</v>
      </c>
      <c r="P11" s="304">
        <f t="shared" si="2"/>
        <v>0</v>
      </c>
      <c r="Q11" s="83">
        <v>0</v>
      </c>
      <c r="R11" s="83">
        <v>0</v>
      </c>
      <c r="S11" s="83">
        <v>0</v>
      </c>
      <c r="T11" s="83">
        <v>0</v>
      </c>
      <c r="U11" s="304">
        <f t="shared" si="3"/>
        <v>0</v>
      </c>
      <c r="V11" s="83">
        <v>0</v>
      </c>
      <c r="W11" s="83">
        <v>0</v>
      </c>
      <c r="X11" s="83">
        <v>0</v>
      </c>
      <c r="Y11" s="83">
        <v>0</v>
      </c>
      <c r="Z11" s="304">
        <f t="shared" si="4"/>
        <v>0</v>
      </c>
      <c r="AA11" s="83">
        <v>0</v>
      </c>
      <c r="AB11" s="83">
        <v>12225000</v>
      </c>
      <c r="AC11" s="83">
        <v>5940000</v>
      </c>
      <c r="AD11" s="83">
        <v>9380000</v>
      </c>
      <c r="AE11" s="304">
        <f t="shared" si="5"/>
        <v>27545000</v>
      </c>
      <c r="AF11" s="83">
        <v>0</v>
      </c>
      <c r="AG11" s="83">
        <v>2315000</v>
      </c>
      <c r="AH11" s="83">
        <v>0</v>
      </c>
      <c r="AI11" s="83">
        <v>-546000</v>
      </c>
      <c r="AJ11" s="304">
        <f t="shared" si="6"/>
        <v>1769000</v>
      </c>
      <c r="AK11" s="83">
        <f>+'1.Input Cash Flow (wTrend)'!AN14</f>
        <v>-36000</v>
      </c>
      <c r="AL11" s="83">
        <f>+'1.Input Cash Flow (wTrend)'!AO14</f>
        <v>0</v>
      </c>
      <c r="AM11" s="83">
        <f>+'1.Input Cash Flow (wTrend)'!AP14</f>
        <v>0</v>
      </c>
      <c r="AN11" s="83">
        <f>+'1.Input Cash Flow (wTrend)'!AQ14</f>
        <v>0</v>
      </c>
      <c r="AO11" s="304">
        <f t="shared" si="7"/>
        <v>-36000</v>
      </c>
    </row>
    <row r="12" spans="1:41" ht="16.649999999999999" customHeight="1" x14ac:dyDescent="0.25">
      <c r="A12" s="81" t="str">
        <f>+'1.Input Cash Flow (wTrend)'!B15</f>
        <v>Gain on sale of strategic investments</v>
      </c>
      <c r="F12" s="304">
        <f t="shared" si="0"/>
        <v>0</v>
      </c>
      <c r="G12" s="83">
        <v>0</v>
      </c>
      <c r="H12" s="83">
        <v>0</v>
      </c>
      <c r="I12" s="83">
        <v>0</v>
      </c>
      <c r="J12" s="83">
        <v>0</v>
      </c>
      <c r="K12" s="304">
        <f t="shared" si="1"/>
        <v>0</v>
      </c>
      <c r="L12" s="83">
        <v>0</v>
      </c>
      <c r="M12" s="83">
        <v>0</v>
      </c>
      <c r="N12" s="83">
        <v>0</v>
      </c>
      <c r="O12" s="83">
        <v>0</v>
      </c>
      <c r="P12" s="304">
        <f t="shared" si="2"/>
        <v>0</v>
      </c>
      <c r="Q12" s="83">
        <v>0</v>
      </c>
      <c r="R12" s="83">
        <v>0</v>
      </c>
      <c r="S12" s="83">
        <v>0</v>
      </c>
      <c r="T12" s="83">
        <v>0</v>
      </c>
      <c r="U12" s="304">
        <f t="shared" si="3"/>
        <v>0</v>
      </c>
      <c r="V12" s="83">
        <v>0</v>
      </c>
      <c r="W12" s="83">
        <v>0</v>
      </c>
      <c r="X12" s="83">
        <v>0</v>
      </c>
      <c r="Y12" s="83">
        <v>0</v>
      </c>
      <c r="Z12" s="304">
        <f t="shared" si="4"/>
        <v>0</v>
      </c>
      <c r="AA12" s="83">
        <v>0</v>
      </c>
      <c r="AB12" s="83">
        <v>-194000</v>
      </c>
      <c r="AC12" s="83">
        <v>0</v>
      </c>
      <c r="AD12" s="83">
        <v>0</v>
      </c>
      <c r="AE12" s="304">
        <f t="shared" si="5"/>
        <v>-194000</v>
      </c>
      <c r="AF12" s="83">
        <v>0</v>
      </c>
      <c r="AG12" s="83">
        <v>0</v>
      </c>
      <c r="AH12" s="83">
        <v>0</v>
      </c>
      <c r="AI12" s="83">
        <v>0</v>
      </c>
      <c r="AJ12" s="304">
        <f t="shared" si="6"/>
        <v>0</v>
      </c>
      <c r="AK12" s="83">
        <f>+'1.Input Cash Flow (wTrend)'!AN15</f>
        <v>0</v>
      </c>
      <c r="AL12" s="83">
        <f>+'1.Input Cash Flow (wTrend)'!AO15</f>
        <v>0</v>
      </c>
      <c r="AM12" s="83">
        <f>+'1.Input Cash Flow (wTrend)'!AP15</f>
        <v>0</v>
      </c>
      <c r="AN12" s="83">
        <f>+'1.Input Cash Flow (wTrend)'!AQ15</f>
        <v>0</v>
      </c>
      <c r="AO12" s="304">
        <f t="shared" si="7"/>
        <v>0</v>
      </c>
    </row>
    <row r="13" spans="1:41" ht="16.649999999999999" customHeight="1" x14ac:dyDescent="0.25">
      <c r="A13" s="81" t="str">
        <f>+'1.Input Cash Flow (wTrend)'!B16</f>
        <v>Gain on distribution from retained profits interest</v>
      </c>
      <c r="B13" s="83">
        <v>0</v>
      </c>
      <c r="C13" s="83">
        <v>0</v>
      </c>
      <c r="D13" s="83">
        <v>0</v>
      </c>
      <c r="E13" s="83">
        <v>0</v>
      </c>
      <c r="F13" s="304">
        <f t="shared" si="0"/>
        <v>0</v>
      </c>
      <c r="G13" s="83">
        <v>0</v>
      </c>
      <c r="H13" s="83">
        <v>0</v>
      </c>
      <c r="I13" s="83">
        <v>0</v>
      </c>
      <c r="J13" s="83">
        <v>0</v>
      </c>
      <c r="K13" s="304">
        <f t="shared" si="1"/>
        <v>0</v>
      </c>
      <c r="L13" s="83">
        <v>0</v>
      </c>
      <c r="M13" s="83">
        <v>0</v>
      </c>
      <c r="N13" s="83">
        <v>0</v>
      </c>
      <c r="O13" s="83">
        <v>0</v>
      </c>
      <c r="P13" s="304">
        <f t="shared" si="2"/>
        <v>0</v>
      </c>
      <c r="Q13" s="83">
        <v>0</v>
      </c>
      <c r="R13" s="83">
        <v>0</v>
      </c>
      <c r="S13" s="83">
        <v>0</v>
      </c>
      <c r="T13" s="83">
        <v>0</v>
      </c>
      <c r="U13" s="304">
        <f t="shared" si="3"/>
        <v>0</v>
      </c>
      <c r="V13" s="83">
        <v>-30052000</v>
      </c>
      <c r="W13" s="83">
        <v>0</v>
      </c>
      <c r="X13" s="83">
        <v>-183000</v>
      </c>
      <c r="Y13" s="83">
        <v>0</v>
      </c>
      <c r="Z13" s="304">
        <f t="shared" si="4"/>
        <v>-30235000</v>
      </c>
      <c r="AA13" s="83">
        <v>0</v>
      </c>
      <c r="AB13" s="83">
        <v>0</v>
      </c>
      <c r="AC13" s="83">
        <v>0</v>
      </c>
      <c r="AD13" s="83">
        <v>0</v>
      </c>
      <c r="AE13" s="304">
        <f t="shared" si="5"/>
        <v>0</v>
      </c>
      <c r="AF13" s="83">
        <v>0</v>
      </c>
      <c r="AG13" s="83">
        <v>0</v>
      </c>
      <c r="AH13" s="83">
        <v>0</v>
      </c>
      <c r="AI13" s="83">
        <v>0</v>
      </c>
      <c r="AJ13" s="304">
        <f t="shared" si="6"/>
        <v>0</v>
      </c>
      <c r="AK13" s="83">
        <f>+'1.Input Cash Flow (wTrend)'!AN16</f>
        <v>0</v>
      </c>
      <c r="AL13" s="83">
        <f>+'1.Input Cash Flow (wTrend)'!AO16</f>
        <v>0</v>
      </c>
      <c r="AM13" s="83">
        <f>+'1.Input Cash Flow (wTrend)'!AP16</f>
        <v>0</v>
      </c>
      <c r="AN13" s="83">
        <f>+'1.Input Cash Flow (wTrend)'!AQ16</f>
        <v>0</v>
      </c>
      <c r="AO13" s="304">
        <f t="shared" si="7"/>
        <v>0</v>
      </c>
    </row>
    <row r="14" spans="1:41" ht="16.649999999999999" customHeight="1" x14ac:dyDescent="0.25">
      <c r="A14" s="81" t="str">
        <f>+'1.Input Cash Flow (wTrend)'!B17</f>
        <v>Provision for doubtful accounts</v>
      </c>
      <c r="B14" s="83">
        <v>-42000</v>
      </c>
      <c r="C14" s="83">
        <v>304000</v>
      </c>
      <c r="D14" s="83">
        <v>60000</v>
      </c>
      <c r="E14" s="83">
        <v>892000</v>
      </c>
      <c r="F14" s="304">
        <f t="shared" si="0"/>
        <v>1214000</v>
      </c>
      <c r="G14" s="83">
        <v>-464000</v>
      </c>
      <c r="H14" s="83">
        <v>1095000</v>
      </c>
      <c r="I14" s="83">
        <v>628000</v>
      </c>
      <c r="J14" s="83">
        <v>1810000</v>
      </c>
      <c r="K14" s="304">
        <f t="shared" si="1"/>
        <v>3069000</v>
      </c>
      <c r="L14" s="83">
        <v>962000</v>
      </c>
      <c r="M14" s="83">
        <v>1468000</v>
      </c>
      <c r="N14" s="83">
        <v>1253000</v>
      </c>
      <c r="O14" s="83">
        <v>3450000</v>
      </c>
      <c r="P14" s="304">
        <f t="shared" si="2"/>
        <v>7133000</v>
      </c>
      <c r="Q14" s="83">
        <v>1330000</v>
      </c>
      <c r="R14" s="83">
        <v>1192000</v>
      </c>
      <c r="S14" s="83">
        <v>824000</v>
      </c>
      <c r="T14" s="83">
        <v>-431000</v>
      </c>
      <c r="U14" s="304">
        <f t="shared" si="3"/>
        <v>2915000</v>
      </c>
      <c r="V14" s="83">
        <v>955000</v>
      </c>
      <c r="W14" s="83">
        <v>327000</v>
      </c>
      <c r="X14" s="83">
        <v>1845000</v>
      </c>
      <c r="Y14" s="83">
        <v>1090000</v>
      </c>
      <c r="Z14" s="304">
        <f t="shared" si="4"/>
        <v>4217000</v>
      </c>
      <c r="AA14" s="83">
        <v>997000</v>
      </c>
      <c r="AB14" s="83">
        <v>118000</v>
      </c>
      <c r="AC14" s="83">
        <v>613000</v>
      </c>
      <c r="AD14" s="83">
        <v>48000</v>
      </c>
      <c r="AE14" s="304">
        <f t="shared" si="5"/>
        <v>1776000</v>
      </c>
      <c r="AF14" s="83">
        <v>-219000</v>
      </c>
      <c r="AG14" s="83">
        <v>-18000</v>
      </c>
      <c r="AH14" s="83">
        <v>544000</v>
      </c>
      <c r="AI14" s="83">
        <v>1947000</v>
      </c>
      <c r="AJ14" s="304">
        <f t="shared" si="6"/>
        <v>2254000</v>
      </c>
      <c r="AK14" s="83">
        <f>+'1.Input Cash Flow (wTrend)'!AN17</f>
        <v>550000</v>
      </c>
      <c r="AL14" s="83">
        <f>+'1.Input Cash Flow (wTrend)'!AO17</f>
        <v>695000</v>
      </c>
      <c r="AM14" s="83">
        <f>+'1.Input Cash Flow (wTrend)'!AP17</f>
        <v>-97000</v>
      </c>
      <c r="AN14" s="83">
        <f>+'1.Input Cash Flow (wTrend)'!AQ17</f>
        <v>0</v>
      </c>
      <c r="AO14" s="304">
        <f t="shared" si="7"/>
        <v>1148000</v>
      </c>
    </row>
    <row r="15" spans="1:41" ht="16.649999999999999" customHeight="1" x14ac:dyDescent="0.25">
      <c r="A15" s="81" t="s">
        <v>506</v>
      </c>
      <c r="B15" s="83">
        <v>720000</v>
      </c>
      <c r="C15" s="83">
        <v>0</v>
      </c>
      <c r="D15" s="83">
        <v>0</v>
      </c>
      <c r="E15" s="83">
        <v>0</v>
      </c>
      <c r="F15" s="304">
        <f t="shared" si="0"/>
        <v>720000</v>
      </c>
      <c r="G15" s="83">
        <v>0</v>
      </c>
      <c r="H15" s="83">
        <v>0</v>
      </c>
      <c r="I15" s="83">
        <v>0</v>
      </c>
      <c r="J15" s="83">
        <v>0</v>
      </c>
      <c r="K15" s="304">
        <f t="shared" si="1"/>
        <v>0</v>
      </c>
      <c r="L15" s="83">
        <v>0</v>
      </c>
      <c r="M15" s="83">
        <v>0</v>
      </c>
      <c r="N15" s="83">
        <v>0</v>
      </c>
      <c r="O15" s="83">
        <v>0</v>
      </c>
      <c r="P15" s="304">
        <f t="shared" si="2"/>
        <v>0</v>
      </c>
      <c r="Q15" s="83">
        <v>0</v>
      </c>
      <c r="R15" s="83">
        <v>0</v>
      </c>
      <c r="S15" s="83">
        <v>0</v>
      </c>
      <c r="T15" s="83">
        <v>0</v>
      </c>
      <c r="U15" s="304">
        <f t="shared" si="3"/>
        <v>0</v>
      </c>
      <c r="V15" s="83">
        <v>0</v>
      </c>
      <c r="W15" s="83">
        <v>0</v>
      </c>
      <c r="X15" s="83">
        <v>0</v>
      </c>
      <c r="Y15" s="83">
        <v>0</v>
      </c>
      <c r="Z15" s="304">
        <f t="shared" si="4"/>
        <v>0</v>
      </c>
      <c r="AA15" s="83">
        <v>0</v>
      </c>
      <c r="AB15" s="83">
        <v>0</v>
      </c>
      <c r="AC15" s="83">
        <v>0</v>
      </c>
      <c r="AD15" s="83">
        <v>0</v>
      </c>
      <c r="AE15" s="304">
        <f t="shared" si="5"/>
        <v>0</v>
      </c>
      <c r="AF15" s="83">
        <v>0</v>
      </c>
      <c r="AG15" s="83">
        <v>0</v>
      </c>
      <c r="AH15" s="83">
        <v>0</v>
      </c>
      <c r="AI15" s="83">
        <v>0</v>
      </c>
      <c r="AJ15" s="304">
        <f t="shared" si="6"/>
        <v>0</v>
      </c>
      <c r="AK15" s="83">
        <v>0</v>
      </c>
      <c r="AL15" s="83">
        <v>0</v>
      </c>
      <c r="AM15" s="83">
        <v>0</v>
      </c>
      <c r="AN15" s="83">
        <v>0</v>
      </c>
      <c r="AO15" s="304">
        <f t="shared" si="7"/>
        <v>0</v>
      </c>
    </row>
    <row r="16" spans="1:41" ht="16.649999999999999" customHeight="1" x14ac:dyDescent="0.25">
      <c r="A16" s="81" t="str">
        <f>+'1.Input Cash Flow (wTrend)'!B18</f>
        <v>Impairment of goodwill</v>
      </c>
      <c r="F16" s="304">
        <f t="shared" si="0"/>
        <v>0</v>
      </c>
      <c r="G16" s="83">
        <v>0</v>
      </c>
      <c r="H16" s="83">
        <v>0</v>
      </c>
      <c r="I16" s="83">
        <v>0</v>
      </c>
      <c r="J16" s="83">
        <v>0</v>
      </c>
      <c r="K16" s="304">
        <f t="shared" si="1"/>
        <v>0</v>
      </c>
      <c r="L16" s="83">
        <v>0</v>
      </c>
      <c r="M16" s="83">
        <v>0</v>
      </c>
      <c r="N16" s="83">
        <v>0</v>
      </c>
      <c r="O16" s="83">
        <v>0</v>
      </c>
      <c r="P16" s="304">
        <f t="shared" si="2"/>
        <v>0</v>
      </c>
      <c r="Q16" s="83">
        <v>0</v>
      </c>
      <c r="R16" s="83">
        <v>0</v>
      </c>
      <c r="S16" s="83">
        <v>0</v>
      </c>
      <c r="T16" s="83">
        <v>0</v>
      </c>
      <c r="U16" s="304">
        <f t="shared" si="3"/>
        <v>0</v>
      </c>
      <c r="V16" s="83">
        <v>0</v>
      </c>
      <c r="W16" s="83">
        <v>0</v>
      </c>
      <c r="X16" s="83">
        <v>0</v>
      </c>
      <c r="Y16" s="83">
        <v>0</v>
      </c>
      <c r="Z16" s="304">
        <f t="shared" si="4"/>
        <v>0</v>
      </c>
      <c r="AA16" s="83">
        <v>0</v>
      </c>
      <c r="AB16" s="83">
        <v>0</v>
      </c>
      <c r="AC16" s="83">
        <v>0</v>
      </c>
      <c r="AD16" s="83">
        <v>0</v>
      </c>
      <c r="AE16" s="304">
        <f t="shared" si="5"/>
        <v>0</v>
      </c>
      <c r="AF16" s="83">
        <v>0</v>
      </c>
      <c r="AG16" s="83">
        <v>2875000</v>
      </c>
      <c r="AH16" s="83">
        <v>0</v>
      </c>
      <c r="AI16" s="83">
        <v>0</v>
      </c>
      <c r="AJ16" s="304">
        <f t="shared" si="6"/>
        <v>2875000</v>
      </c>
      <c r="AK16" s="83">
        <f>+'1.Input Cash Flow (wTrend)'!AN18</f>
        <v>0</v>
      </c>
      <c r="AL16" s="83">
        <f>+'1.Input Cash Flow (wTrend)'!AO18</f>
        <v>0</v>
      </c>
      <c r="AM16" s="83">
        <f>+'1.Input Cash Flow (wTrend)'!AP18</f>
        <v>0</v>
      </c>
      <c r="AN16" s="83">
        <f>+'1.Input Cash Flow (wTrend)'!AQ18</f>
        <v>0</v>
      </c>
      <c r="AO16" s="304">
        <f t="shared" si="7"/>
        <v>0</v>
      </c>
    </row>
    <row r="17" spans="1:41" ht="16.649999999999999" customHeight="1" x14ac:dyDescent="0.25">
      <c r="A17" s="81" t="str">
        <f>+'1.Input Cash Flow (wTrend)'!B19</f>
        <v>Deferred income taxes</v>
      </c>
      <c r="B17" s="83">
        <v>2848000</v>
      </c>
      <c r="C17" s="83">
        <v>-5480000</v>
      </c>
      <c r="D17" s="83">
        <v>-28757000</v>
      </c>
      <c r="E17" s="83">
        <v>3591000</v>
      </c>
      <c r="F17" s="304">
        <f t="shared" si="0"/>
        <v>-27798000</v>
      </c>
      <c r="G17" s="83">
        <v>-1692000</v>
      </c>
      <c r="H17" s="83">
        <v>14136000</v>
      </c>
      <c r="I17" s="83">
        <v>16089000</v>
      </c>
      <c r="J17" s="83">
        <v>-18639000</v>
      </c>
      <c r="K17" s="304">
        <f t="shared" si="1"/>
        <v>9894000</v>
      </c>
      <c r="L17" s="83">
        <v>7000</v>
      </c>
      <c r="M17" s="83">
        <v>-5090000</v>
      </c>
      <c r="N17" s="83">
        <v>6548000</v>
      </c>
      <c r="O17" s="83">
        <v>-8343000</v>
      </c>
      <c r="P17" s="304">
        <f t="shared" si="2"/>
        <v>-6878000</v>
      </c>
      <c r="Q17" s="83">
        <v>-672000</v>
      </c>
      <c r="R17" s="83">
        <v>187000</v>
      </c>
      <c r="S17" s="83">
        <v>485000</v>
      </c>
      <c r="T17" s="83">
        <v>-1418000</v>
      </c>
      <c r="U17" s="304">
        <f t="shared" si="3"/>
        <v>-1418000</v>
      </c>
      <c r="V17" s="83">
        <v>-912000</v>
      </c>
      <c r="W17" s="83">
        <v>141000</v>
      </c>
      <c r="X17" s="83">
        <v>315000</v>
      </c>
      <c r="Y17" s="83">
        <v>-1084000</v>
      </c>
      <c r="Z17" s="304">
        <f t="shared" si="4"/>
        <v>-1540000</v>
      </c>
      <c r="AA17" s="83">
        <v>187000</v>
      </c>
      <c r="AB17" s="83">
        <v>31000</v>
      </c>
      <c r="AC17" s="83">
        <v>-14000</v>
      </c>
      <c r="AD17" s="83">
        <v>-89000</v>
      </c>
      <c r="AE17" s="304">
        <f t="shared" si="5"/>
        <v>115000</v>
      </c>
      <c r="AF17" s="83">
        <v>47000</v>
      </c>
      <c r="AG17" s="83">
        <v>40000</v>
      </c>
      <c r="AH17" s="83">
        <v>-47000</v>
      </c>
      <c r="AI17" s="83">
        <v>-498000</v>
      </c>
      <c r="AJ17" s="304">
        <f t="shared" si="6"/>
        <v>-458000</v>
      </c>
      <c r="AK17" s="83">
        <f>+'1.Input Cash Flow (wTrend)'!AN19</f>
        <v>28000</v>
      </c>
      <c r="AL17" s="83">
        <f>+'1.Input Cash Flow (wTrend)'!AO19</f>
        <v>10000</v>
      </c>
      <c r="AM17" s="83">
        <f>+'1.Input Cash Flow (wTrend)'!AP19</f>
        <v>11000</v>
      </c>
      <c r="AN17" s="83">
        <f>+'1.Input Cash Flow (wTrend)'!AQ19</f>
        <v>0</v>
      </c>
      <c r="AO17" s="304">
        <f t="shared" si="7"/>
        <v>49000</v>
      </c>
    </row>
    <row r="18" spans="1:41" ht="16.649999999999999" customHeight="1" x14ac:dyDescent="0.25">
      <c r="A18" s="81" t="str">
        <f>+'1.Input Cash Flow (wTrend)'!B20</f>
        <v>Non-cash stock compensation expense</v>
      </c>
      <c r="B18" s="83">
        <v>12400000</v>
      </c>
      <c r="C18" s="83">
        <v>13154000</v>
      </c>
      <c r="D18" s="83">
        <v>13290000</v>
      </c>
      <c r="E18" s="83">
        <v>14023000</v>
      </c>
      <c r="F18" s="304">
        <f t="shared" si="0"/>
        <v>52867000</v>
      </c>
      <c r="G18" s="83">
        <v>17798000</v>
      </c>
      <c r="H18" s="83">
        <v>17667000</v>
      </c>
      <c r="I18" s="83">
        <v>26082000</v>
      </c>
      <c r="J18" s="83">
        <v>41175000</v>
      </c>
      <c r="K18" s="304">
        <f t="shared" si="1"/>
        <v>102722000</v>
      </c>
      <c r="L18" s="83">
        <v>18630000</v>
      </c>
      <c r="M18" s="83">
        <v>23354000</v>
      </c>
      <c r="N18" s="83">
        <v>30295000</v>
      </c>
      <c r="O18" s="83">
        <v>17168000</v>
      </c>
      <c r="P18" s="304">
        <f t="shared" si="2"/>
        <v>89447000</v>
      </c>
      <c r="Q18" s="83">
        <v>16485000</v>
      </c>
      <c r="R18" s="83">
        <v>24204000</v>
      </c>
      <c r="S18" s="83">
        <v>23894000</v>
      </c>
      <c r="T18" s="83">
        <v>47124000</v>
      </c>
      <c r="U18" s="304">
        <f t="shared" si="3"/>
        <v>111707000</v>
      </c>
      <c r="V18" s="83">
        <v>18496000</v>
      </c>
      <c r="W18" s="83">
        <v>19221000</v>
      </c>
      <c r="X18" s="83">
        <v>23758000</v>
      </c>
      <c r="Y18" s="83">
        <v>25782000</v>
      </c>
      <c r="Z18" s="304">
        <f t="shared" si="4"/>
        <v>87257000</v>
      </c>
      <c r="AA18" s="83">
        <v>24225000</v>
      </c>
      <c r="AB18" s="83">
        <v>27293000</v>
      </c>
      <c r="AC18" s="83">
        <v>29624000</v>
      </c>
      <c r="AD18" s="83">
        <v>44658000</v>
      </c>
      <c r="AE18" s="304">
        <f t="shared" si="5"/>
        <v>125800000</v>
      </c>
      <c r="AF18" s="83">
        <v>13292000</v>
      </c>
      <c r="AG18" s="83">
        <v>15735000</v>
      </c>
      <c r="AH18" s="83">
        <v>17497000</v>
      </c>
      <c r="AI18" s="83">
        <v>24780000</v>
      </c>
      <c r="AJ18" s="304">
        <f t="shared" si="6"/>
        <v>71304000</v>
      </c>
      <c r="AK18" s="83">
        <f>+'1.Input Cash Flow (wTrend)'!AN20</f>
        <v>27985000</v>
      </c>
      <c r="AL18" s="83">
        <f>+'1.Input Cash Flow (wTrend)'!AO20</f>
        <v>29068000</v>
      </c>
      <c r="AM18" s="83">
        <f>+'1.Input Cash Flow (wTrend)'!AP20</f>
        <v>26760000</v>
      </c>
      <c r="AN18" s="83">
        <f>+'1.Input Cash Flow (wTrend)'!AQ20</f>
        <v>0</v>
      </c>
      <c r="AO18" s="304">
        <f t="shared" si="7"/>
        <v>83813000</v>
      </c>
    </row>
    <row r="19" spans="1:41" ht="16.649999999999999" customHeight="1" x14ac:dyDescent="0.25">
      <c r="A19" s="66" t="str">
        <f>+'1.Input Cash Flow (wTrend)'!B21</f>
        <v>Changes in operating assets and liabilities:</v>
      </c>
      <c r="F19" s="319"/>
      <c r="K19" s="319"/>
      <c r="P19" s="319"/>
      <c r="U19" s="319"/>
      <c r="Z19" s="319"/>
      <c r="AE19" s="319"/>
      <c r="AJ19" s="319"/>
      <c r="AO19" s="319"/>
    </row>
    <row r="20" spans="1:41" ht="16.649999999999999" customHeight="1" x14ac:dyDescent="0.25">
      <c r="A20" s="81" t="str">
        <f>+'1.Input Cash Flow (wTrend)'!B22</f>
        <v>Accounts receivable, net</v>
      </c>
      <c r="B20" s="83">
        <v>3626000</v>
      </c>
      <c r="C20" s="83">
        <v>-8301000</v>
      </c>
      <c r="D20" s="83">
        <v>-5143000</v>
      </c>
      <c r="E20" s="83">
        <v>-3885000</v>
      </c>
      <c r="F20" s="304">
        <f t="shared" ref="F20:F25" si="8">SUM(B20:E20)</f>
        <v>-13703000</v>
      </c>
      <c r="G20" s="83">
        <v>-852000</v>
      </c>
      <c r="H20" s="83">
        <v>-1797000</v>
      </c>
      <c r="I20" s="83">
        <v>-32362000</v>
      </c>
      <c r="J20" s="83">
        <v>-9400000</v>
      </c>
      <c r="K20" s="304">
        <f t="shared" ref="K20:K25" si="9">SUM(G20:J20)</f>
        <v>-44411000</v>
      </c>
      <c r="L20" s="83">
        <v>-3451000</v>
      </c>
      <c r="M20" s="83">
        <v>-7807000</v>
      </c>
      <c r="N20" s="83">
        <v>-593000</v>
      </c>
      <c r="O20" s="83">
        <v>-8667000</v>
      </c>
      <c r="P20" s="304">
        <f t="shared" ref="P20:P25" si="10">SUM(L20:O20)</f>
        <v>-20518000</v>
      </c>
      <c r="Q20" s="83">
        <v>-5860000</v>
      </c>
      <c r="R20" s="83">
        <v>-3724000</v>
      </c>
      <c r="S20" s="83">
        <v>-17062000</v>
      </c>
      <c r="T20" s="83">
        <v>1818000</v>
      </c>
      <c r="U20" s="304">
        <f t="shared" ref="U20:U25" si="11">SUM(Q20:T20)</f>
        <v>-24828000</v>
      </c>
      <c r="V20" s="83">
        <v>-7049000</v>
      </c>
      <c r="W20" s="83">
        <v>-11024000</v>
      </c>
      <c r="X20" s="83">
        <v>-27803000</v>
      </c>
      <c r="Y20" s="83">
        <v>7265000</v>
      </c>
      <c r="Z20" s="304">
        <f t="shared" ref="Z20:Z25" si="12">SUM(V20:Y20)</f>
        <v>-38611000</v>
      </c>
      <c r="AA20" s="83">
        <v>-7733000</v>
      </c>
      <c r="AB20" s="83">
        <v>-3716000</v>
      </c>
      <c r="AC20" s="83">
        <v>-15722000</v>
      </c>
      <c r="AD20" s="83">
        <v>15048000</v>
      </c>
      <c r="AE20" s="304">
        <f t="shared" ref="AE20:AE25" si="13">SUM(AA20:AD20)</f>
        <v>-12123000</v>
      </c>
      <c r="AF20" s="83">
        <v>-14391000</v>
      </c>
      <c r="AG20" s="83">
        <v>-1867000</v>
      </c>
      <c r="AH20" s="83">
        <v>-24778000</v>
      </c>
      <c r="AI20" s="83">
        <v>8700000</v>
      </c>
      <c r="AJ20" s="304">
        <f t="shared" ref="AJ20:AJ25" si="14">SUM(AF20:AI20)</f>
        <v>-32336000</v>
      </c>
      <c r="AK20" s="83">
        <f>+'1.Input Cash Flow (wTrend)'!AN22</f>
        <v>-16582000</v>
      </c>
      <c r="AL20" s="83">
        <f>+'1.Input Cash Flow (wTrend)'!AO22</f>
        <v>13955000</v>
      </c>
      <c r="AM20" s="83">
        <f>+'1.Input Cash Flow (wTrend)'!AP22</f>
        <v>-19013000</v>
      </c>
      <c r="AN20" s="83">
        <f>+'1.Input Cash Flow (wTrend)'!AQ22</f>
        <v>0</v>
      </c>
      <c r="AO20" s="304">
        <f t="shared" ref="AO20:AO25" si="15">SUM(AK20:AN20)</f>
        <v>-21640000</v>
      </c>
    </row>
    <row r="21" spans="1:41" ht="16.649999999999999" customHeight="1" x14ac:dyDescent="0.25">
      <c r="A21" s="81" t="str">
        <f>+'1.Input Cash Flow (wTrend)'!B23</f>
        <v>Deferred commissions</v>
      </c>
      <c r="B21" s="83">
        <v>0</v>
      </c>
      <c r="C21" s="83">
        <v>0</v>
      </c>
      <c r="D21" s="83">
        <v>0</v>
      </c>
      <c r="E21" s="83">
        <v>0</v>
      </c>
      <c r="F21" s="304">
        <f t="shared" si="8"/>
        <v>0</v>
      </c>
      <c r="G21" s="83">
        <v>-998000</v>
      </c>
      <c r="H21" s="83">
        <v>-1049000</v>
      </c>
      <c r="I21" s="83">
        <v>-988000</v>
      </c>
      <c r="J21" s="83">
        <v>-1263000</v>
      </c>
      <c r="K21" s="304">
        <f t="shared" si="9"/>
        <v>-4298000</v>
      </c>
      <c r="L21" s="83">
        <v>174000</v>
      </c>
      <c r="M21" s="83">
        <v>-780000</v>
      </c>
      <c r="N21" s="83">
        <v>-2104000</v>
      </c>
      <c r="O21" s="83">
        <v>-2563000</v>
      </c>
      <c r="P21" s="304">
        <f t="shared" si="10"/>
        <v>-5273000</v>
      </c>
      <c r="Q21" s="83">
        <v>-1681000</v>
      </c>
      <c r="R21" s="83">
        <v>-1764000</v>
      </c>
      <c r="S21" s="83">
        <v>-1637000</v>
      </c>
      <c r="T21" s="83">
        <v>-1523000</v>
      </c>
      <c r="U21" s="304">
        <f t="shared" si="11"/>
        <v>-6605000</v>
      </c>
      <c r="V21" s="83">
        <v>-3383000</v>
      </c>
      <c r="W21" s="83">
        <v>-1986000</v>
      </c>
      <c r="X21" s="83">
        <v>-1495000</v>
      </c>
      <c r="Y21" s="83">
        <v>-1111000</v>
      </c>
      <c r="Z21" s="304">
        <f t="shared" si="12"/>
        <v>-7975000</v>
      </c>
      <c r="AA21" s="83">
        <v>-369000</v>
      </c>
      <c r="AB21" s="83">
        <v>-551000</v>
      </c>
      <c r="AC21" s="83">
        <v>-1203000</v>
      </c>
      <c r="AD21" s="83">
        <v>-4313000</v>
      </c>
      <c r="AE21" s="304">
        <f t="shared" si="13"/>
        <v>-6436000</v>
      </c>
      <c r="AF21" s="83">
        <v>86000</v>
      </c>
      <c r="AG21" s="83">
        <v>-2993000</v>
      </c>
      <c r="AH21" s="83">
        <v>-4235000</v>
      </c>
      <c r="AI21" s="83">
        <v>-3971000</v>
      </c>
      <c r="AJ21" s="304">
        <f t="shared" si="14"/>
        <v>-11113000</v>
      </c>
      <c r="AK21" s="83">
        <f>+'1.Input Cash Flow (wTrend)'!AN23</f>
        <v>2741000</v>
      </c>
      <c r="AL21" s="83">
        <f>+'1.Input Cash Flow (wTrend)'!AO23</f>
        <v>1946000</v>
      </c>
      <c r="AM21" s="83">
        <f>+'1.Input Cash Flow (wTrend)'!AP23</f>
        <v>-1042000</v>
      </c>
      <c r="AN21" s="83">
        <f>+'1.Input Cash Flow (wTrend)'!AQ23</f>
        <v>0</v>
      </c>
      <c r="AO21" s="304">
        <f t="shared" si="15"/>
        <v>3645000</v>
      </c>
    </row>
    <row r="22" spans="1:41" ht="16.649999999999999" customHeight="1" x14ac:dyDescent="0.25">
      <c r="A22" s="81" t="str">
        <f>+'1.Input Cash Flow (wTrend)'!B24</f>
        <v>Other assets</v>
      </c>
      <c r="B22" s="83">
        <v>1253000</v>
      </c>
      <c r="C22" s="83">
        <v>231000</v>
      </c>
      <c r="D22" s="83">
        <v>148000</v>
      </c>
      <c r="E22" s="83">
        <v>-1070000</v>
      </c>
      <c r="F22" s="304">
        <f t="shared" si="8"/>
        <v>562000</v>
      </c>
      <c r="G22" s="83">
        <v>-574000</v>
      </c>
      <c r="H22" s="83">
        <v>1838000</v>
      </c>
      <c r="I22" s="83">
        <v>-6151000</v>
      </c>
      <c r="J22" s="83">
        <v>1781000</v>
      </c>
      <c r="K22" s="304">
        <f t="shared" si="9"/>
        <v>-3106000</v>
      </c>
      <c r="L22" s="83">
        <v>3600000</v>
      </c>
      <c r="M22" s="83">
        <v>-7497000</v>
      </c>
      <c r="N22" s="83">
        <v>6301000</v>
      </c>
      <c r="O22" s="83">
        <v>-8548000</v>
      </c>
      <c r="P22" s="304">
        <f t="shared" si="10"/>
        <v>-6144000</v>
      </c>
      <c r="Q22" s="83">
        <v>4904000</v>
      </c>
      <c r="R22" s="83">
        <v>2799000</v>
      </c>
      <c r="S22" s="83">
        <v>-192000</v>
      </c>
      <c r="T22" s="83">
        <v>-26283000</v>
      </c>
      <c r="U22" s="304">
        <f t="shared" si="11"/>
        <v>-18772000</v>
      </c>
      <c r="V22" s="83">
        <v>19336000</v>
      </c>
      <c r="W22" s="83">
        <v>4072000</v>
      </c>
      <c r="X22" s="83">
        <v>-1331000</v>
      </c>
      <c r="Y22" s="83">
        <v>4786000</v>
      </c>
      <c r="Z22" s="304">
        <f t="shared" si="12"/>
        <v>26863000</v>
      </c>
      <c r="AA22" s="83">
        <v>4352000</v>
      </c>
      <c r="AB22" s="83">
        <v>4608000</v>
      </c>
      <c r="AC22" s="83">
        <v>-7372000</v>
      </c>
      <c r="AD22" s="83">
        <v>6117000</v>
      </c>
      <c r="AE22" s="304">
        <f t="shared" si="13"/>
        <v>7705000</v>
      </c>
      <c r="AF22" s="83">
        <v>5008000</v>
      </c>
      <c r="AG22" s="83">
        <v>735000</v>
      </c>
      <c r="AH22" s="83">
        <v>-4831000</v>
      </c>
      <c r="AI22" s="83">
        <v>8514000</v>
      </c>
      <c r="AJ22" s="304">
        <f t="shared" si="14"/>
        <v>9426000</v>
      </c>
      <c r="AK22" s="83">
        <f>+'1.Input Cash Flow (wTrend)'!AN24</f>
        <v>3667000</v>
      </c>
      <c r="AL22" s="83">
        <f>+'1.Input Cash Flow (wTrend)'!AO24</f>
        <v>331000</v>
      </c>
      <c r="AM22" s="83">
        <f>+'1.Input Cash Flow (wTrend)'!AP24</f>
        <v>-6596000</v>
      </c>
      <c r="AN22" s="83">
        <f>+'1.Input Cash Flow (wTrend)'!AQ24</f>
        <v>0</v>
      </c>
      <c r="AO22" s="304">
        <f t="shared" si="15"/>
        <v>-2598000</v>
      </c>
    </row>
    <row r="23" spans="1:41" ht="16.649999999999999" customHeight="1" x14ac:dyDescent="0.25">
      <c r="A23" s="81" t="str">
        <f>+'1.Input Cash Flow (wTrend)'!B25</f>
        <v>Accounts payable and other liabilities</v>
      </c>
      <c r="B23" s="83">
        <v>-2432000</v>
      </c>
      <c r="C23" s="83">
        <v>-543000</v>
      </c>
      <c r="D23" s="83">
        <v>5849000</v>
      </c>
      <c r="E23" s="83">
        <v>-6093000</v>
      </c>
      <c r="F23" s="304">
        <f t="shared" si="8"/>
        <v>-3219000</v>
      </c>
      <c r="G23" s="83">
        <v>4403000</v>
      </c>
      <c r="H23" s="83">
        <v>-8888000</v>
      </c>
      <c r="I23" s="83">
        <v>22989000</v>
      </c>
      <c r="J23" s="83">
        <v>6804000</v>
      </c>
      <c r="K23" s="304">
        <f t="shared" si="9"/>
        <v>25308000</v>
      </c>
      <c r="L23" s="83">
        <v>-188000</v>
      </c>
      <c r="M23" s="83">
        <v>3009000</v>
      </c>
      <c r="N23" s="83">
        <v>9776000</v>
      </c>
      <c r="O23" s="83">
        <v>12326000</v>
      </c>
      <c r="P23" s="304">
        <f t="shared" si="10"/>
        <v>24923000</v>
      </c>
      <c r="Q23" s="83">
        <v>-22684000</v>
      </c>
      <c r="R23" s="83">
        <v>2013000</v>
      </c>
      <c r="S23" s="83">
        <v>13824000</v>
      </c>
      <c r="T23" s="83">
        <v>6731000</v>
      </c>
      <c r="U23" s="304">
        <f t="shared" si="11"/>
        <v>-116000</v>
      </c>
      <c r="V23" s="83">
        <v>-37276000</v>
      </c>
      <c r="W23" s="83">
        <v>447000</v>
      </c>
      <c r="X23" s="83">
        <v>34358000</v>
      </c>
      <c r="Y23" s="83">
        <v>11321000</v>
      </c>
      <c r="Z23" s="304">
        <f t="shared" si="12"/>
        <v>8850000</v>
      </c>
      <c r="AA23" s="83">
        <v>-34557000</v>
      </c>
      <c r="AB23" s="83">
        <v>5080000</v>
      </c>
      <c r="AC23" s="83">
        <v>20168000</v>
      </c>
      <c r="AD23" s="83">
        <v>-6060000</v>
      </c>
      <c r="AE23" s="304">
        <f t="shared" si="13"/>
        <v>-15369000</v>
      </c>
      <c r="AF23" s="83">
        <v>-25225000</v>
      </c>
      <c r="AG23" s="83">
        <v>12340000</v>
      </c>
      <c r="AH23" s="83">
        <v>21639000</v>
      </c>
      <c r="AI23" s="83">
        <v>-246000</v>
      </c>
      <c r="AJ23" s="304">
        <f t="shared" si="14"/>
        <v>8508000</v>
      </c>
      <c r="AK23" s="83">
        <f>+'1.Input Cash Flow (wTrend)'!AN25</f>
        <v>-39046000</v>
      </c>
      <c r="AL23" s="83">
        <f>+'1.Input Cash Flow (wTrend)'!AO25</f>
        <v>7052000</v>
      </c>
      <c r="AM23" s="83">
        <f>+'1.Input Cash Flow (wTrend)'!AP25</f>
        <v>23829000</v>
      </c>
      <c r="AN23" s="83">
        <f>+'1.Input Cash Flow (wTrend)'!AQ25</f>
        <v>0</v>
      </c>
      <c r="AO23" s="304">
        <f t="shared" si="15"/>
        <v>-8165000</v>
      </c>
    </row>
    <row r="24" spans="1:41" ht="16.649999999999999" customHeight="1" x14ac:dyDescent="0.25">
      <c r="A24" s="81" t="str">
        <f>+'1.Input Cash Flow (wTrend)'!B26</f>
        <v>Income taxes</v>
      </c>
      <c r="B24" s="83">
        <v>-10889000</v>
      </c>
      <c r="C24" s="83">
        <v>5851000</v>
      </c>
      <c r="D24" s="83">
        <v>14390000</v>
      </c>
      <c r="E24" s="83">
        <v>-7042000</v>
      </c>
      <c r="F24" s="304">
        <f t="shared" si="8"/>
        <v>2310000</v>
      </c>
      <c r="G24" s="83">
        <v>-1898000</v>
      </c>
      <c r="H24" s="83">
        <v>-14518000</v>
      </c>
      <c r="I24" s="83">
        <v>-33631000</v>
      </c>
      <c r="J24" s="83">
        <v>55134000</v>
      </c>
      <c r="K24" s="304">
        <f t="shared" si="9"/>
        <v>5087000</v>
      </c>
      <c r="L24" s="83">
        <v>-863000</v>
      </c>
      <c r="M24" s="83">
        <v>-6926000</v>
      </c>
      <c r="N24" s="83">
        <v>-5634000</v>
      </c>
      <c r="O24" s="83">
        <v>-12030000</v>
      </c>
      <c r="P24" s="304">
        <f t="shared" si="10"/>
        <v>-25453000</v>
      </c>
      <c r="Q24" s="83">
        <v>-1105000</v>
      </c>
      <c r="R24" s="83">
        <v>-2478000</v>
      </c>
      <c r="S24" s="83">
        <v>-5399000</v>
      </c>
      <c r="T24" s="83">
        <v>-17233000</v>
      </c>
      <c r="U24" s="304">
        <f t="shared" si="11"/>
        <v>-26215000</v>
      </c>
      <c r="V24" s="83">
        <v>-1000000</v>
      </c>
      <c r="W24" s="83">
        <v>368000</v>
      </c>
      <c r="X24" s="83">
        <v>1630000</v>
      </c>
      <c r="Y24" s="83">
        <v>32971000</v>
      </c>
      <c r="Z24" s="304">
        <f t="shared" si="12"/>
        <v>33969000</v>
      </c>
      <c r="AA24" s="83">
        <v>2131000</v>
      </c>
      <c r="AB24" s="83">
        <v>-618000</v>
      </c>
      <c r="AC24" s="83">
        <v>5454000</v>
      </c>
      <c r="AD24" s="83">
        <v>-6371000</v>
      </c>
      <c r="AE24" s="304">
        <f t="shared" si="13"/>
        <v>596000</v>
      </c>
      <c r="AF24" s="83">
        <v>37236000</v>
      </c>
      <c r="AG24" s="83">
        <v>6463000</v>
      </c>
      <c r="AH24" s="83">
        <v>-14139000</v>
      </c>
      <c r="AI24" s="83">
        <v>-7285000</v>
      </c>
      <c r="AJ24" s="304">
        <f t="shared" si="14"/>
        <v>22275000</v>
      </c>
      <c r="AK24" s="83">
        <f>+'1.Input Cash Flow (wTrend)'!AN26</f>
        <v>6792000</v>
      </c>
      <c r="AL24" s="83">
        <f>+'1.Input Cash Flow (wTrend)'!AO26</f>
        <v>-1222000</v>
      </c>
      <c r="AM24" s="83">
        <f>+'1.Input Cash Flow (wTrend)'!AP26</f>
        <v>-1617000</v>
      </c>
      <c r="AN24" s="83">
        <f>+'1.Input Cash Flow (wTrend)'!AQ26</f>
        <v>0</v>
      </c>
      <c r="AO24" s="304">
        <f t="shared" si="15"/>
        <v>3953000</v>
      </c>
    </row>
    <row r="25" spans="1:41" ht="16.649999999999999" customHeight="1" x14ac:dyDescent="0.25">
      <c r="A25" s="338" t="str">
        <f>+'1.Input Cash Flow (wTrend)'!B27</f>
        <v>Deferred revenue</v>
      </c>
      <c r="B25" s="255">
        <v>-1277000</v>
      </c>
      <c r="C25" s="255">
        <v>49000</v>
      </c>
      <c r="D25" s="255">
        <v>1667000</v>
      </c>
      <c r="E25" s="255">
        <v>-721000</v>
      </c>
      <c r="F25" s="297">
        <f t="shared" si="8"/>
        <v>-282000</v>
      </c>
      <c r="G25" s="255">
        <v>427000</v>
      </c>
      <c r="H25" s="255">
        <v>-1942000</v>
      </c>
      <c r="I25" s="255">
        <v>-40000</v>
      </c>
      <c r="J25" s="255">
        <v>2017000</v>
      </c>
      <c r="K25" s="297">
        <f t="shared" si="9"/>
        <v>462000</v>
      </c>
      <c r="L25" s="255">
        <v>-1101000</v>
      </c>
      <c r="M25" s="255">
        <v>968000</v>
      </c>
      <c r="N25" s="255">
        <v>-102000</v>
      </c>
      <c r="O25" s="255">
        <v>2058000</v>
      </c>
      <c r="P25" s="297">
        <f t="shared" si="10"/>
        <v>1823000</v>
      </c>
      <c r="Q25" s="255">
        <v>-657000</v>
      </c>
      <c r="R25" s="255">
        <v>556000</v>
      </c>
      <c r="S25" s="255">
        <v>5168000</v>
      </c>
      <c r="T25" s="255">
        <v>-156000</v>
      </c>
      <c r="U25" s="297">
        <f t="shared" si="11"/>
        <v>4911000</v>
      </c>
      <c r="V25" s="255">
        <v>-419000</v>
      </c>
      <c r="W25" s="255">
        <v>-82000</v>
      </c>
      <c r="X25" s="255">
        <v>3927000</v>
      </c>
      <c r="Y25" s="255">
        <v>1258000</v>
      </c>
      <c r="Z25" s="297">
        <f t="shared" si="12"/>
        <v>4684000</v>
      </c>
      <c r="AA25" s="255">
        <v>-1120000</v>
      </c>
      <c r="AB25" s="255">
        <v>1844000</v>
      </c>
      <c r="AC25" s="255">
        <v>-453000</v>
      </c>
      <c r="AD25" s="255">
        <v>3937000</v>
      </c>
      <c r="AE25" s="297">
        <f t="shared" si="13"/>
        <v>4208000</v>
      </c>
      <c r="AF25" s="255">
        <v>7098000</v>
      </c>
      <c r="AG25" s="255">
        <v>-6195000</v>
      </c>
      <c r="AH25" s="255">
        <v>8834000</v>
      </c>
      <c r="AI25" s="255">
        <v>-1403000</v>
      </c>
      <c r="AJ25" s="297">
        <f t="shared" si="14"/>
        <v>8334000</v>
      </c>
      <c r="AK25" s="255">
        <f>+'1.Input Cash Flow (wTrend)'!AN27</f>
        <v>7503000</v>
      </c>
      <c r="AL25" s="255">
        <f>+'1.Input Cash Flow (wTrend)'!AO27</f>
        <v>-2436000</v>
      </c>
      <c r="AM25" s="255">
        <f>+'1.Input Cash Flow (wTrend)'!AP27</f>
        <v>8861000</v>
      </c>
      <c r="AN25" s="255">
        <f>+'1.Input Cash Flow (wTrend)'!AQ27</f>
        <v>0</v>
      </c>
      <c r="AO25" s="297">
        <f t="shared" si="15"/>
        <v>13928000</v>
      </c>
    </row>
    <row r="26" spans="1:41" ht="16.649999999999999" customHeight="1" x14ac:dyDescent="0.3">
      <c r="A26" s="44" t="str">
        <f>+'1.Input Cash Flow (wTrend)'!B28</f>
        <v>Net cash provided by operating activities</v>
      </c>
      <c r="B26" s="358">
        <f t="shared" ref="B26:AO26" si="16">SUM(B6:B25)</f>
        <v>-10822000</v>
      </c>
      <c r="C26" s="358">
        <f t="shared" si="16"/>
        <v>-8029000</v>
      </c>
      <c r="D26" s="358">
        <f t="shared" si="16"/>
        <v>14096000</v>
      </c>
      <c r="E26" s="358">
        <f t="shared" si="16"/>
        <v>-9335000</v>
      </c>
      <c r="F26" s="357">
        <f t="shared" si="16"/>
        <v>-14090000</v>
      </c>
      <c r="G26" s="358">
        <f t="shared" si="16"/>
        <v>-2280000</v>
      </c>
      <c r="H26" s="358">
        <f t="shared" si="16"/>
        <v>-27130000</v>
      </c>
      <c r="I26" s="358">
        <f t="shared" si="16"/>
        <v>-10922000</v>
      </c>
      <c r="J26" s="358">
        <f t="shared" si="16"/>
        <v>38354000</v>
      </c>
      <c r="K26" s="357">
        <f t="shared" si="16"/>
        <v>-1978000</v>
      </c>
      <c r="L26" s="358">
        <f t="shared" si="16"/>
        <v>-15408000</v>
      </c>
      <c r="M26" s="358">
        <f t="shared" si="16"/>
        <v>-28751000</v>
      </c>
      <c r="N26" s="358">
        <f t="shared" si="16"/>
        <v>15804000</v>
      </c>
      <c r="O26" s="358">
        <f t="shared" si="16"/>
        <v>-220000</v>
      </c>
      <c r="P26" s="357">
        <f t="shared" si="16"/>
        <v>-28575000</v>
      </c>
      <c r="Q26" s="358">
        <f t="shared" si="16"/>
        <v>-23612000</v>
      </c>
      <c r="R26" s="358">
        <f t="shared" si="16"/>
        <v>6249000</v>
      </c>
      <c r="S26" s="358">
        <f t="shared" si="16"/>
        <v>14690000</v>
      </c>
      <c r="T26" s="358">
        <f t="shared" si="16"/>
        <v>-17887000</v>
      </c>
      <c r="U26" s="357">
        <f t="shared" si="16"/>
        <v>-20560000</v>
      </c>
      <c r="V26" s="358">
        <f t="shared" si="16"/>
        <v>-17241000</v>
      </c>
      <c r="W26" s="358">
        <f t="shared" si="16"/>
        <v>10901000</v>
      </c>
      <c r="X26" s="358">
        <f t="shared" si="16"/>
        <v>25473000</v>
      </c>
      <c r="Y26" s="358">
        <f t="shared" si="16"/>
        <v>58944000</v>
      </c>
      <c r="Z26" s="357">
        <f t="shared" si="16"/>
        <v>78077000</v>
      </c>
      <c r="AA26" s="358">
        <f t="shared" si="16"/>
        <v>-33369000</v>
      </c>
      <c r="AB26" s="358">
        <f t="shared" si="16"/>
        <v>21375000</v>
      </c>
      <c r="AC26" s="358">
        <f t="shared" si="16"/>
        <v>15770000</v>
      </c>
      <c r="AD26" s="358">
        <f t="shared" si="16"/>
        <v>30665000</v>
      </c>
      <c r="AE26" s="357">
        <f t="shared" si="16"/>
        <v>34441000</v>
      </c>
      <c r="AF26" s="358">
        <f t="shared" si="16"/>
        <v>25693000</v>
      </c>
      <c r="AG26" s="358">
        <f t="shared" si="16"/>
        <v>35764000</v>
      </c>
      <c r="AH26" s="358">
        <f t="shared" si="16"/>
        <v>16556000</v>
      </c>
      <c r="AI26" s="358">
        <f t="shared" si="16"/>
        <v>27643000</v>
      </c>
      <c r="AJ26" s="357">
        <f t="shared" si="16"/>
        <v>105656000</v>
      </c>
      <c r="AK26" s="358">
        <f t="shared" si="16"/>
        <v>-9328000</v>
      </c>
      <c r="AL26" s="358">
        <f t="shared" si="16"/>
        <v>55596000</v>
      </c>
      <c r="AM26" s="358">
        <f t="shared" si="16"/>
        <v>45117000</v>
      </c>
      <c r="AN26" s="358">
        <f t="shared" si="16"/>
        <v>0</v>
      </c>
      <c r="AO26" s="357">
        <f t="shared" si="16"/>
        <v>91385000</v>
      </c>
    </row>
    <row r="27" spans="1:41" ht="15" customHeight="1" x14ac:dyDescent="0.25">
      <c r="F27" s="319"/>
      <c r="K27" s="319"/>
      <c r="P27" s="319"/>
      <c r="U27" s="319"/>
      <c r="Z27" s="319"/>
      <c r="AE27" s="319"/>
      <c r="AJ27" s="319"/>
      <c r="AO27" s="319"/>
    </row>
    <row r="28" spans="1:41" ht="16.649999999999999" customHeight="1" x14ac:dyDescent="0.3">
      <c r="A28" s="2" t="str">
        <f>+'1.Input Cash Flow (wTrend)'!B29</f>
        <v>Cash flows from investing activities:</v>
      </c>
      <c r="F28" s="319"/>
      <c r="K28" s="319"/>
      <c r="P28" s="319"/>
      <c r="U28" s="319"/>
      <c r="Z28" s="319"/>
      <c r="AE28" s="319"/>
      <c r="AJ28" s="319"/>
      <c r="AO28" s="319"/>
    </row>
    <row r="29" spans="1:41" ht="16.649999999999999" customHeight="1" x14ac:dyDescent="0.25">
      <c r="A29" s="81" t="s">
        <v>507</v>
      </c>
      <c r="B29" s="83">
        <v>0</v>
      </c>
      <c r="C29" s="83">
        <v>4000000</v>
      </c>
      <c r="D29" s="83">
        <v>0</v>
      </c>
      <c r="E29" s="83">
        <v>0</v>
      </c>
      <c r="F29" s="304">
        <f t="shared" ref="F29:F38" si="17">SUM(B29:E29)</f>
        <v>4000000</v>
      </c>
      <c r="G29" s="83">
        <v>0</v>
      </c>
      <c r="H29" s="83">
        <v>0</v>
      </c>
      <c r="I29" s="83">
        <v>0</v>
      </c>
      <c r="J29" s="83">
        <v>0</v>
      </c>
      <c r="K29" s="304">
        <f t="shared" ref="K29:K38" si="18">SUM(G29:J29)</f>
        <v>0</v>
      </c>
      <c r="L29" s="83">
        <v>0</v>
      </c>
      <c r="M29" s="83">
        <v>0</v>
      </c>
      <c r="N29" s="83">
        <v>0</v>
      </c>
      <c r="O29" s="83">
        <v>0</v>
      </c>
      <c r="P29" s="304">
        <f t="shared" ref="P29:P38" si="19">SUM(L29:O29)</f>
        <v>0</v>
      </c>
      <c r="Q29" s="83">
        <v>0</v>
      </c>
      <c r="R29" s="83">
        <v>0</v>
      </c>
      <c r="S29" s="83">
        <v>0</v>
      </c>
      <c r="T29" s="83">
        <v>0</v>
      </c>
      <c r="U29" s="304">
        <f t="shared" ref="U29:U38" si="20">SUM(Q29:T29)</f>
        <v>0</v>
      </c>
      <c r="V29" s="83">
        <v>0</v>
      </c>
      <c r="W29" s="83">
        <v>0</v>
      </c>
      <c r="X29" s="83">
        <v>0</v>
      </c>
      <c r="Y29" s="83">
        <v>0</v>
      </c>
      <c r="Z29" s="304">
        <f t="shared" ref="Z29:Z38" si="21">SUM(V29:Y29)</f>
        <v>0</v>
      </c>
      <c r="AA29" s="83">
        <v>0</v>
      </c>
      <c r="AB29" s="83">
        <v>0</v>
      </c>
      <c r="AC29" s="83">
        <v>0</v>
      </c>
      <c r="AD29" s="83">
        <v>0</v>
      </c>
      <c r="AE29" s="304">
        <f t="shared" ref="AE29:AE38" si="22">SUM(AA29:AD29)</f>
        <v>0</v>
      </c>
      <c r="AF29" s="83">
        <v>0</v>
      </c>
      <c r="AG29" s="83">
        <v>0</v>
      </c>
      <c r="AH29" s="83">
        <v>0</v>
      </c>
      <c r="AI29" s="83">
        <v>0</v>
      </c>
      <c r="AJ29" s="304">
        <f t="shared" ref="AJ29:AJ38" si="23">SUM(AF29:AI29)</f>
        <v>0</v>
      </c>
      <c r="AK29" s="83">
        <v>0</v>
      </c>
      <c r="AL29" s="83">
        <v>0</v>
      </c>
      <c r="AM29" s="83">
        <v>0</v>
      </c>
      <c r="AN29" s="83">
        <v>0</v>
      </c>
      <c r="AO29" s="304">
        <f t="shared" ref="AO29:AO38" si="24">SUM(AK29:AN29)</f>
        <v>0</v>
      </c>
    </row>
    <row r="30" spans="1:41" ht="16.649999999999999" customHeight="1" x14ac:dyDescent="0.25">
      <c r="A30" s="81" t="str">
        <f>+'1.Input Cash Flow (wTrend)'!B30</f>
        <v>Capitalized software</v>
      </c>
      <c r="B30" s="83">
        <v>-575000</v>
      </c>
      <c r="C30" s="83">
        <v>-638000</v>
      </c>
      <c r="D30" s="83">
        <v>-507000</v>
      </c>
      <c r="E30" s="83">
        <v>-1546000</v>
      </c>
      <c r="F30" s="304">
        <f t="shared" si="17"/>
        <v>-3266000</v>
      </c>
      <c r="G30" s="83">
        <v>-899000</v>
      </c>
      <c r="H30" s="83">
        <v>-423000</v>
      </c>
      <c r="I30" s="83">
        <v>0</v>
      </c>
      <c r="J30" s="83">
        <v>0</v>
      </c>
      <c r="K30" s="304">
        <f t="shared" si="18"/>
        <v>-1322000</v>
      </c>
      <c r="L30" s="83">
        <v>0</v>
      </c>
      <c r="M30" s="83">
        <v>0</v>
      </c>
      <c r="N30" s="83">
        <v>0</v>
      </c>
      <c r="O30" s="83">
        <v>0</v>
      </c>
      <c r="P30" s="304">
        <f t="shared" si="19"/>
        <v>0</v>
      </c>
      <c r="Q30" s="83">
        <v>0</v>
      </c>
      <c r="R30" s="83">
        <v>0</v>
      </c>
      <c r="S30" s="83">
        <v>0</v>
      </c>
      <c r="T30" s="83">
        <v>0</v>
      </c>
      <c r="U30" s="304">
        <f t="shared" si="20"/>
        <v>0</v>
      </c>
      <c r="V30" s="83">
        <v>0</v>
      </c>
      <c r="W30" s="83">
        <v>0</v>
      </c>
      <c r="X30" s="83">
        <v>0</v>
      </c>
      <c r="Y30" s="83">
        <v>0</v>
      </c>
      <c r="Z30" s="304">
        <f t="shared" si="21"/>
        <v>0</v>
      </c>
      <c r="AA30" s="83">
        <v>0</v>
      </c>
      <c r="AB30" s="83">
        <v>0</v>
      </c>
      <c r="AC30" s="83">
        <v>0</v>
      </c>
      <c r="AD30" s="83">
        <v>0</v>
      </c>
      <c r="AE30" s="304">
        <f t="shared" si="22"/>
        <v>0</v>
      </c>
      <c r="AF30" s="83">
        <v>0</v>
      </c>
      <c r="AG30" s="83">
        <v>0</v>
      </c>
      <c r="AH30" s="83">
        <v>0</v>
      </c>
      <c r="AI30" s="83">
        <v>0</v>
      </c>
      <c r="AJ30" s="304">
        <f t="shared" si="23"/>
        <v>0</v>
      </c>
      <c r="AK30" s="83">
        <f>+'1.Input Cash Flow (wTrend)'!AN30</f>
        <v>0</v>
      </c>
      <c r="AL30" s="83">
        <f>+'1.Input Cash Flow (wTrend)'!AO30</f>
        <v>0</v>
      </c>
      <c r="AM30" s="83">
        <f>+'1.Input Cash Flow (wTrend)'!AP30</f>
        <v>0</v>
      </c>
      <c r="AN30" s="83">
        <f>+'1.Input Cash Flow (wTrend)'!AQ30</f>
        <v>0</v>
      </c>
      <c r="AO30" s="304">
        <f t="shared" si="24"/>
        <v>0</v>
      </c>
    </row>
    <row r="31" spans="1:41" ht="16.649999999999999" customHeight="1" x14ac:dyDescent="0.25">
      <c r="A31" s="81" t="str">
        <f>+'1.Input Cash Flow (wTrend)'!B31</f>
        <v>Capital expenditures</v>
      </c>
      <c r="B31" s="83">
        <v>-2357000</v>
      </c>
      <c r="C31" s="83">
        <v>-330000</v>
      </c>
      <c r="D31" s="83">
        <v>-2562000</v>
      </c>
      <c r="E31" s="83">
        <v>-4126000</v>
      </c>
      <c r="F31" s="304">
        <f t="shared" si="17"/>
        <v>-9375000</v>
      </c>
      <c r="G31" s="83">
        <v>-712000</v>
      </c>
      <c r="H31" s="83">
        <v>-1323000</v>
      </c>
      <c r="I31" s="83">
        <v>-1938000</v>
      </c>
      <c r="J31" s="83">
        <v>-3347000</v>
      </c>
      <c r="K31" s="304">
        <f t="shared" si="18"/>
        <v>-7320000</v>
      </c>
      <c r="L31" s="83">
        <v>-4888000</v>
      </c>
      <c r="M31" s="83">
        <v>-2641000</v>
      </c>
      <c r="N31" s="83">
        <v>-2773000</v>
      </c>
      <c r="O31" s="83">
        <v>-1409000</v>
      </c>
      <c r="P31" s="304">
        <f t="shared" si="19"/>
        <v>-11711000</v>
      </c>
      <c r="Q31" s="83">
        <v>-832000</v>
      </c>
      <c r="R31" s="83">
        <v>-296000</v>
      </c>
      <c r="S31" s="83">
        <v>-678000</v>
      </c>
      <c r="T31" s="83">
        <v>-376000</v>
      </c>
      <c r="U31" s="304">
        <f t="shared" si="20"/>
        <v>-2182000</v>
      </c>
      <c r="V31" s="83">
        <v>-427000</v>
      </c>
      <c r="W31" s="83">
        <v>-876000</v>
      </c>
      <c r="X31" s="83">
        <v>-1316000</v>
      </c>
      <c r="Y31" s="83">
        <v>-1880000</v>
      </c>
      <c r="Z31" s="304">
        <f t="shared" si="21"/>
        <v>-4499000</v>
      </c>
      <c r="AA31" s="83">
        <v>-1741000</v>
      </c>
      <c r="AB31" s="83">
        <v>-2673000</v>
      </c>
      <c r="AC31" s="83">
        <v>-179000</v>
      </c>
      <c r="AD31" s="83">
        <v>-103000</v>
      </c>
      <c r="AE31" s="304">
        <f t="shared" si="22"/>
        <v>-4696000</v>
      </c>
      <c r="AF31" s="83">
        <v>-53000</v>
      </c>
      <c r="AG31" s="83">
        <v>-200000</v>
      </c>
      <c r="AH31" s="83">
        <v>-2211000</v>
      </c>
      <c r="AI31" s="83">
        <v>-1791000</v>
      </c>
      <c r="AJ31" s="304">
        <f t="shared" si="23"/>
        <v>-4255000</v>
      </c>
      <c r="AK31" s="83">
        <f>+'1.Input Cash Flow (wTrend)'!AN31</f>
        <v>-226000</v>
      </c>
      <c r="AL31" s="83">
        <f>+'1.Input Cash Flow (wTrend)'!AO31</f>
        <v>-241000</v>
      </c>
      <c r="AM31" s="83">
        <f>+'1.Input Cash Flow (wTrend)'!AP31</f>
        <v>-282000</v>
      </c>
      <c r="AN31" s="83">
        <f>+'1.Input Cash Flow (wTrend)'!AQ31</f>
        <v>0</v>
      </c>
      <c r="AO31" s="304">
        <f t="shared" si="24"/>
        <v>-749000</v>
      </c>
    </row>
    <row r="32" spans="1:41" ht="16.649999999999999" customHeight="1" x14ac:dyDescent="0.25">
      <c r="A32" s="81" t="str">
        <f>+'1.Input Cash Flow (wTrend)'!B32</f>
        <v>Proceeds from sales of assets</v>
      </c>
      <c r="B32" s="83">
        <v>0</v>
      </c>
      <c r="C32" s="83">
        <v>0</v>
      </c>
      <c r="D32" s="83">
        <v>0</v>
      </c>
      <c r="E32" s="83">
        <v>0</v>
      </c>
      <c r="F32" s="304">
        <f t="shared" si="17"/>
        <v>0</v>
      </c>
      <c r="G32" s="83">
        <v>0</v>
      </c>
      <c r="H32" s="83">
        <v>0</v>
      </c>
      <c r="I32" s="83">
        <v>0</v>
      </c>
      <c r="J32" s="83">
        <v>0</v>
      </c>
      <c r="K32" s="304">
        <f t="shared" si="18"/>
        <v>0</v>
      </c>
      <c r="L32" s="83">
        <v>0</v>
      </c>
      <c r="M32" s="83">
        <v>517000</v>
      </c>
      <c r="N32" s="83">
        <v>0</v>
      </c>
      <c r="O32" s="83">
        <v>356000</v>
      </c>
      <c r="P32" s="304">
        <f t="shared" si="19"/>
        <v>873000</v>
      </c>
      <c r="Q32" s="83">
        <v>0</v>
      </c>
      <c r="R32" s="83">
        <v>0</v>
      </c>
      <c r="S32" s="83">
        <v>0</v>
      </c>
      <c r="T32" s="83">
        <v>0</v>
      </c>
      <c r="U32" s="304">
        <f t="shared" si="20"/>
        <v>0</v>
      </c>
      <c r="V32" s="83">
        <v>0</v>
      </c>
      <c r="W32" s="83">
        <v>0</v>
      </c>
      <c r="X32" s="83">
        <v>0</v>
      </c>
      <c r="Y32" s="83">
        <v>0</v>
      </c>
      <c r="Z32" s="304">
        <f t="shared" si="21"/>
        <v>0</v>
      </c>
      <c r="AA32" s="83">
        <v>0</v>
      </c>
      <c r="AB32" s="83">
        <v>0</v>
      </c>
      <c r="AC32" s="83">
        <v>0</v>
      </c>
      <c r="AD32" s="83">
        <v>0</v>
      </c>
      <c r="AE32" s="304">
        <f t="shared" si="22"/>
        <v>0</v>
      </c>
      <c r="AF32" s="83">
        <v>0</v>
      </c>
      <c r="AG32" s="83">
        <v>0</v>
      </c>
      <c r="AH32" s="83">
        <v>0</v>
      </c>
      <c r="AI32" s="83">
        <v>0</v>
      </c>
      <c r="AJ32" s="304">
        <f t="shared" si="23"/>
        <v>0</v>
      </c>
      <c r="AK32" s="83">
        <f>+'1.Input Cash Flow (wTrend)'!AN32</f>
        <v>0</v>
      </c>
      <c r="AL32" s="83">
        <f>+'1.Input Cash Flow (wTrend)'!AO32</f>
        <v>0</v>
      </c>
      <c r="AM32" s="83">
        <f>+'1.Input Cash Flow (wTrend)'!AP32</f>
        <v>0</v>
      </c>
      <c r="AN32" s="83">
        <f>+'1.Input Cash Flow (wTrend)'!AQ32</f>
        <v>0</v>
      </c>
      <c r="AO32" s="304">
        <f t="shared" si="24"/>
        <v>0</v>
      </c>
    </row>
    <row r="33" spans="1:41" ht="16.649999999999999" customHeight="1" x14ac:dyDescent="0.25">
      <c r="A33" s="81" t="str">
        <f>+'1.Input Cash Flow (wTrend)'!B35</f>
        <v>Purchases of investments</v>
      </c>
      <c r="B33" s="83">
        <v>0</v>
      </c>
      <c r="C33" s="83">
        <v>0</v>
      </c>
      <c r="D33" s="83">
        <v>-1000000</v>
      </c>
      <c r="E33" s="83">
        <v>0</v>
      </c>
      <c r="F33" s="304">
        <f t="shared" si="17"/>
        <v>-1000000</v>
      </c>
      <c r="G33" s="83">
        <v>-2500000</v>
      </c>
      <c r="H33" s="83">
        <v>0</v>
      </c>
      <c r="I33" s="83">
        <v>0</v>
      </c>
      <c r="J33" s="83">
        <v>0</v>
      </c>
      <c r="K33" s="304">
        <f t="shared" si="18"/>
        <v>-2500000</v>
      </c>
      <c r="L33" s="83">
        <v>0</v>
      </c>
      <c r="M33" s="83">
        <v>0</v>
      </c>
      <c r="N33" s="83">
        <v>0</v>
      </c>
      <c r="O33" s="83">
        <v>0</v>
      </c>
      <c r="P33" s="304">
        <f t="shared" si="19"/>
        <v>0</v>
      </c>
      <c r="Q33" s="83">
        <v>-667000</v>
      </c>
      <c r="R33" s="83">
        <v>-1206000</v>
      </c>
      <c r="S33" s="83">
        <v>-327000</v>
      </c>
      <c r="T33" s="83">
        <v>-4500000</v>
      </c>
      <c r="U33" s="304">
        <f t="shared" si="20"/>
        <v>-6700000</v>
      </c>
      <c r="V33" s="83">
        <v>0</v>
      </c>
      <c r="W33" s="83">
        <v>0</v>
      </c>
      <c r="X33" s="83">
        <v>0</v>
      </c>
      <c r="Y33" s="83">
        <v>0</v>
      </c>
      <c r="Z33" s="304">
        <f t="shared" si="21"/>
        <v>0</v>
      </c>
      <c r="AA33" s="83">
        <v>0</v>
      </c>
      <c r="AB33" s="83">
        <v>0</v>
      </c>
      <c r="AC33" s="83">
        <v>-3000000</v>
      </c>
      <c r="AD33" s="83">
        <v>-25197000</v>
      </c>
      <c r="AE33" s="304">
        <f t="shared" si="22"/>
        <v>-28197000</v>
      </c>
      <c r="AF33" s="83">
        <v>0</v>
      </c>
      <c r="AG33" s="83">
        <v>-24385000</v>
      </c>
      <c r="AH33" s="83">
        <v>0</v>
      </c>
      <c r="AI33" s="83">
        <v>-24509000</v>
      </c>
      <c r="AJ33" s="304">
        <f t="shared" si="23"/>
        <v>-48894000</v>
      </c>
      <c r="AK33" s="83">
        <f>+'1.Input Cash Flow (wTrend)'!AN35</f>
        <v>-1967000</v>
      </c>
      <c r="AL33" s="83">
        <f>+'1.Input Cash Flow (wTrend)'!AO35</f>
        <v>0</v>
      </c>
      <c r="AM33" s="83">
        <f>+'1.Input Cash Flow (wTrend)'!AP35</f>
        <v>0</v>
      </c>
      <c r="AN33" s="83">
        <f>+'1.Input Cash Flow (wTrend)'!AQ35</f>
        <v>0</v>
      </c>
      <c r="AO33" s="304">
        <f t="shared" si="24"/>
        <v>-1967000</v>
      </c>
    </row>
    <row r="34" spans="1:41" ht="16.649999999999999" customHeight="1" x14ac:dyDescent="0.25">
      <c r="A34" s="81" t="str">
        <f>+'1.Input Cash Flow (wTrend)'!B36</f>
        <v>Proceeds from sales of investments</v>
      </c>
      <c r="F34" s="304">
        <f t="shared" si="17"/>
        <v>0</v>
      </c>
      <c r="G34" s="83">
        <v>0</v>
      </c>
      <c r="H34" s="83">
        <v>0</v>
      </c>
      <c r="I34" s="83">
        <v>0</v>
      </c>
      <c r="J34" s="83">
        <v>0</v>
      </c>
      <c r="K34" s="304">
        <f t="shared" si="18"/>
        <v>0</v>
      </c>
      <c r="L34" s="83">
        <v>0</v>
      </c>
      <c r="M34" s="83">
        <v>0</v>
      </c>
      <c r="N34" s="83">
        <v>0</v>
      </c>
      <c r="O34" s="83">
        <v>0</v>
      </c>
      <c r="P34" s="304">
        <f t="shared" si="19"/>
        <v>0</v>
      </c>
      <c r="Q34" s="83">
        <v>0</v>
      </c>
      <c r="R34" s="83">
        <v>0</v>
      </c>
      <c r="S34" s="83">
        <v>0</v>
      </c>
      <c r="T34" s="83">
        <v>0</v>
      </c>
      <c r="U34" s="304">
        <f t="shared" si="20"/>
        <v>0</v>
      </c>
      <c r="V34" s="83">
        <v>0</v>
      </c>
      <c r="W34" s="83">
        <v>0</v>
      </c>
      <c r="X34" s="83">
        <v>0</v>
      </c>
      <c r="Y34" s="83">
        <v>0</v>
      </c>
      <c r="Z34" s="304">
        <f t="shared" si="21"/>
        <v>0</v>
      </c>
      <c r="AA34" s="83">
        <v>0</v>
      </c>
      <c r="AB34" s="83">
        <v>0</v>
      </c>
      <c r="AC34" s="83">
        <v>3000000</v>
      </c>
      <c r="AD34" s="83">
        <v>0</v>
      </c>
      <c r="AE34" s="304">
        <f t="shared" si="22"/>
        <v>3000000</v>
      </c>
      <c r="AF34" s="83">
        <v>0</v>
      </c>
      <c r="AG34" s="83">
        <v>25750000</v>
      </c>
      <c r="AH34" s="83">
        <v>0</v>
      </c>
      <c r="AI34" s="83">
        <v>25000000</v>
      </c>
      <c r="AJ34" s="304">
        <f t="shared" si="23"/>
        <v>50750000</v>
      </c>
      <c r="AK34" s="83">
        <f>+'1.Input Cash Flow (wTrend)'!AN36</f>
        <v>2000000</v>
      </c>
      <c r="AL34" s="83">
        <f>+'1.Input Cash Flow (wTrend)'!AO36</f>
        <v>22995000</v>
      </c>
      <c r="AM34" s="83">
        <f>+'1.Input Cash Flow (wTrend)'!AP36</f>
        <v>1994000</v>
      </c>
      <c r="AN34" s="83">
        <f>+'1.Input Cash Flow (wTrend)'!AQ36</f>
        <v>0</v>
      </c>
      <c r="AO34" s="304">
        <f t="shared" si="24"/>
        <v>26989000</v>
      </c>
    </row>
    <row r="35" spans="1:41" ht="16.649999999999999" customHeight="1" x14ac:dyDescent="0.25">
      <c r="A35" s="81" t="str">
        <f>+'1.Input Cash Flow (wTrend)'!B38</f>
        <v>Purchases of strategic investments</v>
      </c>
      <c r="B35" s="83">
        <v>0</v>
      </c>
      <c r="C35" s="83">
        <v>0</v>
      </c>
      <c r="D35" s="83">
        <v>0</v>
      </c>
      <c r="E35" s="83">
        <v>0</v>
      </c>
      <c r="F35" s="304">
        <f t="shared" si="17"/>
        <v>0</v>
      </c>
      <c r="G35" s="83">
        <v>0</v>
      </c>
      <c r="H35" s="83">
        <v>0</v>
      </c>
      <c r="I35" s="83">
        <v>0</v>
      </c>
      <c r="J35" s="83">
        <v>0</v>
      </c>
      <c r="K35" s="304">
        <f t="shared" si="18"/>
        <v>0</v>
      </c>
      <c r="L35" s="83">
        <v>0</v>
      </c>
      <c r="M35" s="83">
        <v>0</v>
      </c>
      <c r="N35" s="83">
        <v>0</v>
      </c>
      <c r="O35" s="83">
        <v>0</v>
      </c>
      <c r="P35" s="304">
        <f t="shared" si="19"/>
        <v>0</v>
      </c>
      <c r="Q35" s="83">
        <v>0</v>
      </c>
      <c r="R35" s="83">
        <v>0</v>
      </c>
      <c r="S35" s="83">
        <v>-3000000</v>
      </c>
      <c r="T35" s="83">
        <v>0</v>
      </c>
      <c r="U35" s="304">
        <f t="shared" si="20"/>
        <v>-3000000</v>
      </c>
      <c r="V35" s="83">
        <v>0</v>
      </c>
      <c r="W35" s="83">
        <v>0</v>
      </c>
      <c r="X35" s="83">
        <v>0</v>
      </c>
      <c r="Y35" s="83">
        <v>0</v>
      </c>
      <c r="Z35" s="304">
        <f t="shared" si="21"/>
        <v>0</v>
      </c>
      <c r="AA35" s="83">
        <v>0</v>
      </c>
      <c r="AB35" s="83">
        <v>0</v>
      </c>
      <c r="AC35" s="83">
        <v>-500000</v>
      </c>
      <c r="AD35" s="83">
        <v>0</v>
      </c>
      <c r="AE35" s="304">
        <f t="shared" si="22"/>
        <v>-500000</v>
      </c>
      <c r="AF35" s="83">
        <v>-500000</v>
      </c>
      <c r="AG35" s="83">
        <v>-500000</v>
      </c>
      <c r="AH35" s="83">
        <v>0</v>
      </c>
      <c r="AI35" s="83">
        <v>0</v>
      </c>
      <c r="AJ35" s="304">
        <f t="shared" si="23"/>
        <v>-1000000</v>
      </c>
      <c r="AK35" s="83">
        <f>+'1.Input Cash Flow (wTrend)'!AN38</f>
        <v>-400000</v>
      </c>
      <c r="AL35" s="83">
        <f>+'1.Input Cash Flow (wTrend)'!AO38</f>
        <v>0</v>
      </c>
      <c r="AM35" s="83">
        <f>+'1.Input Cash Flow (wTrend)'!AP38</f>
        <v>-1000000</v>
      </c>
      <c r="AN35" s="83">
        <f>+'1.Input Cash Flow (wTrend)'!AQ38</f>
        <v>0</v>
      </c>
      <c r="AO35" s="304">
        <f t="shared" si="24"/>
        <v>-1400000</v>
      </c>
    </row>
    <row r="36" spans="1:41" ht="16.649999999999999" customHeight="1" x14ac:dyDescent="0.25">
      <c r="A36" s="81" t="str">
        <f>+'1.Input Cash Flow (wTrend)'!B37</f>
        <v>Proceeds from sale of strategic investment</v>
      </c>
      <c r="B36" s="83">
        <v>0</v>
      </c>
      <c r="C36" s="83">
        <v>0</v>
      </c>
      <c r="D36" s="83">
        <v>0</v>
      </c>
      <c r="E36" s="83">
        <v>0</v>
      </c>
      <c r="F36" s="304">
        <f t="shared" si="17"/>
        <v>0</v>
      </c>
      <c r="G36" s="83">
        <v>0</v>
      </c>
      <c r="H36" s="83">
        <v>0</v>
      </c>
      <c r="I36" s="83">
        <v>0</v>
      </c>
      <c r="J36" s="83">
        <v>0</v>
      </c>
      <c r="K36" s="304">
        <f t="shared" si="18"/>
        <v>0</v>
      </c>
      <c r="L36" s="83">
        <v>0</v>
      </c>
      <c r="M36" s="83">
        <v>0</v>
      </c>
      <c r="N36" s="83">
        <v>0</v>
      </c>
      <c r="O36" s="83">
        <v>0</v>
      </c>
      <c r="P36" s="304">
        <f t="shared" si="19"/>
        <v>0</v>
      </c>
      <c r="Q36" s="83">
        <v>0</v>
      </c>
      <c r="R36" s="83">
        <v>0</v>
      </c>
      <c r="S36" s="83">
        <v>0</v>
      </c>
      <c r="T36" s="83">
        <v>0</v>
      </c>
      <c r="U36" s="304">
        <f t="shared" si="20"/>
        <v>0</v>
      </c>
      <c r="V36" s="83">
        <v>0</v>
      </c>
      <c r="W36" s="83">
        <v>0</v>
      </c>
      <c r="X36" s="83">
        <v>0</v>
      </c>
      <c r="Y36" s="83">
        <v>0</v>
      </c>
      <c r="Z36" s="304">
        <f t="shared" si="21"/>
        <v>0</v>
      </c>
      <c r="AA36" s="83">
        <v>0</v>
      </c>
      <c r="AB36" s="83">
        <v>400000</v>
      </c>
      <c r="AC36" s="83">
        <v>0</v>
      </c>
      <c r="AD36" s="83">
        <v>994000</v>
      </c>
      <c r="AE36" s="304">
        <f t="shared" si="22"/>
        <v>1394000</v>
      </c>
      <c r="AF36" s="83">
        <v>0</v>
      </c>
      <c r="AG36" s="83">
        <v>0</v>
      </c>
      <c r="AH36" s="83">
        <v>0</v>
      </c>
      <c r="AI36" s="83">
        <v>0</v>
      </c>
      <c r="AJ36" s="304">
        <f t="shared" si="23"/>
        <v>0</v>
      </c>
      <c r="AK36" s="83">
        <f>+'1.Input Cash Flow (wTrend)'!AN37</f>
        <v>0</v>
      </c>
      <c r="AL36" s="83">
        <f>+'1.Input Cash Flow (wTrend)'!AO37</f>
        <v>0</v>
      </c>
      <c r="AM36" s="83">
        <f>+'1.Input Cash Flow (wTrend)'!AP37</f>
        <v>0</v>
      </c>
      <c r="AN36" s="83">
        <f>+'1.Input Cash Flow (wTrend)'!AQ37</f>
        <v>0</v>
      </c>
      <c r="AO36" s="304">
        <f t="shared" si="24"/>
        <v>0</v>
      </c>
    </row>
    <row r="37" spans="1:41" ht="16.649999999999999" customHeight="1" x14ac:dyDescent="0.25">
      <c r="A37" s="81" t="str">
        <f>+'1.Input Cash Flow (wTrend)'!B34</f>
        <v>Distribution from retained profits interest</v>
      </c>
      <c r="B37" s="83">
        <v>0</v>
      </c>
      <c r="C37" s="83">
        <v>0</v>
      </c>
      <c r="D37" s="83">
        <v>0</v>
      </c>
      <c r="E37" s="83">
        <v>0</v>
      </c>
      <c r="F37" s="304">
        <f t="shared" si="17"/>
        <v>0</v>
      </c>
      <c r="G37" s="83">
        <v>0</v>
      </c>
      <c r="H37" s="83">
        <v>0</v>
      </c>
      <c r="I37" s="83">
        <v>0</v>
      </c>
      <c r="J37" s="83">
        <v>0</v>
      </c>
      <c r="K37" s="304">
        <f t="shared" si="18"/>
        <v>0</v>
      </c>
      <c r="L37" s="83">
        <v>0</v>
      </c>
      <c r="M37" s="83">
        <v>0</v>
      </c>
      <c r="N37" s="83">
        <v>0</v>
      </c>
      <c r="O37" s="83">
        <v>0</v>
      </c>
      <c r="P37" s="304">
        <f t="shared" si="19"/>
        <v>0</v>
      </c>
      <c r="Q37" s="83">
        <v>0</v>
      </c>
      <c r="R37" s="83">
        <v>0</v>
      </c>
      <c r="S37" s="83">
        <v>0</v>
      </c>
      <c r="T37" s="83">
        <v>0</v>
      </c>
      <c r="U37" s="304">
        <f t="shared" si="20"/>
        <v>0</v>
      </c>
      <c r="V37" s="83">
        <v>31000000</v>
      </c>
      <c r="W37" s="83">
        <v>0</v>
      </c>
      <c r="X37" s="83">
        <v>184000</v>
      </c>
      <c r="Y37" s="83">
        <v>0</v>
      </c>
      <c r="Z37" s="304">
        <f t="shared" si="21"/>
        <v>31184000</v>
      </c>
      <c r="AA37" s="83">
        <v>0</v>
      </c>
      <c r="AB37" s="83">
        <v>0</v>
      </c>
      <c r="AC37" s="83">
        <v>0</v>
      </c>
      <c r="AD37" s="83">
        <v>0</v>
      </c>
      <c r="AE37" s="304">
        <f t="shared" si="22"/>
        <v>0</v>
      </c>
      <c r="AF37" s="83">
        <v>0</v>
      </c>
      <c r="AG37" s="83">
        <v>0</v>
      </c>
      <c r="AH37" s="83">
        <v>0</v>
      </c>
      <c r="AI37" s="83">
        <v>0</v>
      </c>
      <c r="AJ37" s="304">
        <f t="shared" si="23"/>
        <v>0</v>
      </c>
      <c r="AK37" s="83">
        <f>+'1.Input Cash Flow (wTrend)'!AN34</f>
        <v>0</v>
      </c>
      <c r="AL37" s="83">
        <f>+'1.Input Cash Flow (wTrend)'!AO34</f>
        <v>0</v>
      </c>
      <c r="AM37" s="83">
        <f>+'1.Input Cash Flow (wTrend)'!AP34</f>
        <v>0</v>
      </c>
      <c r="AN37" s="83">
        <f>+'1.Input Cash Flow (wTrend)'!AQ34</f>
        <v>0</v>
      </c>
      <c r="AO37" s="304">
        <f t="shared" si="24"/>
        <v>0</v>
      </c>
    </row>
    <row r="38" spans="1:41" ht="16.649999999999999" customHeight="1" x14ac:dyDescent="0.25">
      <c r="A38" s="338" t="str">
        <f>+'1.Input Cash Flow (wTrend)'!B33</f>
        <v>Cash paid in acquisitions, net of cash received</v>
      </c>
      <c r="B38" s="255">
        <v>0</v>
      </c>
      <c r="C38" s="255">
        <v>0</v>
      </c>
      <c r="D38" s="255">
        <v>0</v>
      </c>
      <c r="E38" s="255">
        <v>-4478000</v>
      </c>
      <c r="F38" s="297">
        <f t="shared" si="17"/>
        <v>-4478000</v>
      </c>
      <c r="G38" s="255">
        <v>0</v>
      </c>
      <c r="H38" s="255">
        <v>0</v>
      </c>
      <c r="I38" s="255">
        <v>0</v>
      </c>
      <c r="J38" s="255">
        <v>0</v>
      </c>
      <c r="K38" s="297">
        <f t="shared" si="18"/>
        <v>0</v>
      </c>
      <c r="L38" s="255">
        <v>-4479000</v>
      </c>
      <c r="M38" s="255">
        <v>-100886000</v>
      </c>
      <c r="N38" s="255">
        <v>0</v>
      </c>
      <c r="O38" s="255">
        <v>0</v>
      </c>
      <c r="P38" s="297">
        <f t="shared" si="19"/>
        <v>-105365000</v>
      </c>
      <c r="Q38" s="255">
        <v>0</v>
      </c>
      <c r="R38" s="255">
        <v>-2933000</v>
      </c>
      <c r="S38" s="255">
        <v>-14815000</v>
      </c>
      <c r="T38" s="255">
        <v>-58264000</v>
      </c>
      <c r="U38" s="297">
        <f t="shared" si="20"/>
        <v>-76012000</v>
      </c>
      <c r="V38" s="255">
        <v>-8368000</v>
      </c>
      <c r="W38" s="255">
        <v>0</v>
      </c>
      <c r="X38" s="255">
        <v>-2008000</v>
      </c>
      <c r="Y38" s="255">
        <v>-8731000</v>
      </c>
      <c r="Z38" s="297">
        <f t="shared" si="21"/>
        <v>-19107000</v>
      </c>
      <c r="AA38" s="255">
        <v>0</v>
      </c>
      <c r="AB38" s="255">
        <v>0</v>
      </c>
      <c r="AC38" s="255">
        <v>0</v>
      </c>
      <c r="AD38" s="255">
        <v>0</v>
      </c>
      <c r="AE38" s="297">
        <f t="shared" si="22"/>
        <v>0</v>
      </c>
      <c r="AF38" s="255">
        <v>0</v>
      </c>
      <c r="AG38" s="255">
        <v>0</v>
      </c>
      <c r="AH38" s="255">
        <v>0</v>
      </c>
      <c r="AI38" s="255">
        <v>-170281000</v>
      </c>
      <c r="AJ38" s="297">
        <f t="shared" si="23"/>
        <v>-170281000</v>
      </c>
      <c r="AK38" s="255">
        <f>+'1.Input Cash Flow (wTrend)'!AN33</f>
        <v>0</v>
      </c>
      <c r="AL38" s="255">
        <f>+'1.Input Cash Flow (wTrend)'!AO33</f>
        <v>0</v>
      </c>
      <c r="AM38" s="255">
        <f>+'1.Input Cash Flow (wTrend)'!AP33</f>
        <v>-1951000</v>
      </c>
      <c r="AN38" s="255">
        <f>+'1.Input Cash Flow (wTrend)'!AQ33</f>
        <v>0</v>
      </c>
      <c r="AO38" s="297">
        <f t="shared" si="24"/>
        <v>-1951000</v>
      </c>
    </row>
    <row r="39" spans="1:41" ht="16.649999999999999" customHeight="1" x14ac:dyDescent="0.3">
      <c r="A39" s="44" t="str">
        <f>+'1.Input Cash Flow (wTrend)'!B39</f>
        <v>Net cash provided by (used in) investing activities</v>
      </c>
      <c r="B39" s="358">
        <f t="shared" ref="B39:AO39" si="25">SUM(B29:B38)</f>
        <v>-2932000</v>
      </c>
      <c r="C39" s="358">
        <f t="shared" si="25"/>
        <v>3032000</v>
      </c>
      <c r="D39" s="358">
        <f t="shared" si="25"/>
        <v>-4069000</v>
      </c>
      <c r="E39" s="358">
        <f t="shared" si="25"/>
        <v>-10150000</v>
      </c>
      <c r="F39" s="357">
        <f t="shared" si="25"/>
        <v>-14119000</v>
      </c>
      <c r="G39" s="358">
        <f t="shared" si="25"/>
        <v>-4111000</v>
      </c>
      <c r="H39" s="358">
        <f t="shared" si="25"/>
        <v>-1746000</v>
      </c>
      <c r="I39" s="358">
        <f t="shared" si="25"/>
        <v>-1938000</v>
      </c>
      <c r="J39" s="358">
        <f t="shared" si="25"/>
        <v>-3347000</v>
      </c>
      <c r="K39" s="357">
        <f t="shared" si="25"/>
        <v>-11142000</v>
      </c>
      <c r="L39" s="358">
        <f t="shared" si="25"/>
        <v>-9367000</v>
      </c>
      <c r="M39" s="358">
        <f t="shared" si="25"/>
        <v>-103010000</v>
      </c>
      <c r="N39" s="358">
        <f t="shared" si="25"/>
        <v>-2773000</v>
      </c>
      <c r="O39" s="358">
        <f t="shared" si="25"/>
        <v>-1053000</v>
      </c>
      <c r="P39" s="357">
        <f t="shared" si="25"/>
        <v>-116203000</v>
      </c>
      <c r="Q39" s="358">
        <f t="shared" si="25"/>
        <v>-1499000</v>
      </c>
      <c r="R39" s="358">
        <f t="shared" si="25"/>
        <v>-4435000</v>
      </c>
      <c r="S39" s="358">
        <f t="shared" si="25"/>
        <v>-18820000</v>
      </c>
      <c r="T39" s="358">
        <f t="shared" si="25"/>
        <v>-63140000</v>
      </c>
      <c r="U39" s="357">
        <f t="shared" si="25"/>
        <v>-87894000</v>
      </c>
      <c r="V39" s="358">
        <f t="shared" si="25"/>
        <v>22205000</v>
      </c>
      <c r="W39" s="358">
        <f t="shared" si="25"/>
        <v>-876000</v>
      </c>
      <c r="X39" s="358">
        <f t="shared" si="25"/>
        <v>-3140000</v>
      </c>
      <c r="Y39" s="358">
        <f t="shared" si="25"/>
        <v>-10611000</v>
      </c>
      <c r="Z39" s="357">
        <f t="shared" si="25"/>
        <v>7578000</v>
      </c>
      <c r="AA39" s="358">
        <f t="shared" si="25"/>
        <v>-1741000</v>
      </c>
      <c r="AB39" s="358">
        <f t="shared" si="25"/>
        <v>-2273000</v>
      </c>
      <c r="AC39" s="358">
        <f t="shared" si="25"/>
        <v>-679000</v>
      </c>
      <c r="AD39" s="358">
        <f t="shared" si="25"/>
        <v>-24306000</v>
      </c>
      <c r="AE39" s="357">
        <f t="shared" si="25"/>
        <v>-28999000</v>
      </c>
      <c r="AF39" s="358">
        <f t="shared" si="25"/>
        <v>-553000</v>
      </c>
      <c r="AG39" s="358">
        <f t="shared" si="25"/>
        <v>665000</v>
      </c>
      <c r="AH39" s="358">
        <f t="shared" si="25"/>
        <v>-2211000</v>
      </c>
      <c r="AI39" s="358">
        <f t="shared" si="25"/>
        <v>-171581000</v>
      </c>
      <c r="AJ39" s="357">
        <f t="shared" si="25"/>
        <v>-173680000</v>
      </c>
      <c r="AK39" s="358">
        <f t="shared" si="25"/>
        <v>-593000</v>
      </c>
      <c r="AL39" s="358">
        <f t="shared" si="25"/>
        <v>22754000</v>
      </c>
      <c r="AM39" s="358">
        <f t="shared" si="25"/>
        <v>-1239000</v>
      </c>
      <c r="AN39" s="358">
        <f t="shared" si="25"/>
        <v>0</v>
      </c>
      <c r="AO39" s="357">
        <f t="shared" si="25"/>
        <v>20922000</v>
      </c>
    </row>
    <row r="40" spans="1:41" ht="15" customHeight="1" x14ac:dyDescent="0.25">
      <c r="F40" s="319"/>
      <c r="K40" s="319"/>
      <c r="P40" s="319"/>
      <c r="U40" s="319"/>
      <c r="Z40" s="319"/>
      <c r="AE40" s="319"/>
      <c r="AJ40" s="319"/>
      <c r="AO40" s="319"/>
    </row>
    <row r="41" spans="1:41" ht="16.649999999999999" customHeight="1" x14ac:dyDescent="0.3">
      <c r="A41" s="2" t="str">
        <f>+'1.Input Cash Flow (wTrend)'!B40</f>
        <v>Cash flows from financing activities:</v>
      </c>
      <c r="F41" s="319"/>
      <c r="K41" s="319"/>
      <c r="P41" s="319"/>
      <c r="U41" s="319"/>
      <c r="Z41" s="319"/>
      <c r="AE41" s="319"/>
      <c r="AJ41" s="319"/>
      <c r="AO41" s="319"/>
    </row>
    <row r="42" spans="1:41" ht="16.649999999999999" customHeight="1" x14ac:dyDescent="0.25">
      <c r="A42" s="81" t="s">
        <v>508</v>
      </c>
      <c r="B42" s="83">
        <v>230000000</v>
      </c>
      <c r="C42" s="83">
        <v>0</v>
      </c>
      <c r="D42" s="83">
        <v>0</v>
      </c>
      <c r="E42" s="83">
        <v>0</v>
      </c>
      <c r="F42" s="304">
        <f t="shared" ref="F42:F48" si="26">SUM(B42:E42)</f>
        <v>230000000</v>
      </c>
      <c r="G42" s="83">
        <v>0</v>
      </c>
      <c r="H42" s="83">
        <v>0</v>
      </c>
      <c r="I42" s="83">
        <v>0</v>
      </c>
      <c r="J42" s="83">
        <v>0</v>
      </c>
      <c r="K42" s="304">
        <f t="shared" ref="K42:K48" si="27">SUM(G42:J42)</f>
        <v>0</v>
      </c>
      <c r="L42" s="83">
        <v>0</v>
      </c>
      <c r="M42" s="83">
        <v>0</v>
      </c>
      <c r="N42" s="83">
        <v>0</v>
      </c>
      <c r="O42" s="83">
        <v>0</v>
      </c>
      <c r="P42" s="304">
        <f t="shared" ref="P42:P48" si="28">SUM(L42:O42)</f>
        <v>0</v>
      </c>
      <c r="Q42" s="83">
        <v>0</v>
      </c>
      <c r="R42" s="83">
        <v>0</v>
      </c>
      <c r="S42" s="83">
        <v>0</v>
      </c>
      <c r="T42" s="83">
        <v>0</v>
      </c>
      <c r="U42" s="304">
        <f t="shared" ref="U42:U48" si="29">SUM(Q42:T42)</f>
        <v>0</v>
      </c>
      <c r="V42" s="83">
        <v>0</v>
      </c>
      <c r="W42" s="83">
        <v>0</v>
      </c>
      <c r="X42" s="83">
        <v>0</v>
      </c>
      <c r="Y42" s="83">
        <v>0</v>
      </c>
      <c r="Z42" s="304">
        <f t="shared" ref="Z42:Z48" si="30">SUM(V42:Y42)</f>
        <v>0</v>
      </c>
      <c r="AA42" s="83">
        <v>0</v>
      </c>
      <c r="AB42" s="83">
        <v>0</v>
      </c>
      <c r="AC42" s="83">
        <v>0</v>
      </c>
      <c r="AD42" s="83">
        <v>0</v>
      </c>
      <c r="AE42" s="304">
        <f t="shared" ref="AE42:AE48" si="31">SUM(AA42:AD42)</f>
        <v>0</v>
      </c>
      <c r="AF42" s="83">
        <v>0</v>
      </c>
      <c r="AG42" s="83">
        <v>0</v>
      </c>
      <c r="AH42" s="83">
        <v>0</v>
      </c>
      <c r="AI42" s="83">
        <v>0</v>
      </c>
      <c r="AJ42" s="304">
        <f t="shared" ref="AJ42:AJ48" si="32">SUM(AF42:AI42)</f>
        <v>0</v>
      </c>
      <c r="AK42" s="83">
        <v>0</v>
      </c>
      <c r="AL42" s="83">
        <v>0</v>
      </c>
      <c r="AM42" s="83">
        <v>0</v>
      </c>
      <c r="AN42" s="83">
        <v>0</v>
      </c>
      <c r="AO42" s="304">
        <f t="shared" ref="AO42:AO48" si="33">SUM(AK42:AN42)</f>
        <v>0</v>
      </c>
    </row>
    <row r="43" spans="1:41" ht="16.649999999999999" customHeight="1" x14ac:dyDescent="0.25">
      <c r="A43" s="81" t="str">
        <f>+'1.Input Cash Flow (wTrend)'!B41</f>
        <v>Payments of debt</v>
      </c>
      <c r="B43" s="83">
        <v>-225572000</v>
      </c>
      <c r="C43" s="83">
        <v>-578000</v>
      </c>
      <c r="D43" s="83">
        <v>-582000</v>
      </c>
      <c r="E43" s="83">
        <v>-588000</v>
      </c>
      <c r="F43" s="304">
        <f t="shared" si="26"/>
        <v>-227320000</v>
      </c>
      <c r="G43" s="83">
        <v>-592000</v>
      </c>
      <c r="H43" s="83">
        <v>-2701000</v>
      </c>
      <c r="I43" s="83">
        <v>-230000000</v>
      </c>
      <c r="J43" s="83">
        <v>0</v>
      </c>
      <c r="K43" s="304">
        <f t="shared" si="27"/>
        <v>-233293000</v>
      </c>
      <c r="L43" s="83">
        <v>0</v>
      </c>
      <c r="M43" s="83">
        <v>0</v>
      </c>
      <c r="N43" s="83">
        <v>0</v>
      </c>
      <c r="O43" s="83">
        <v>0</v>
      </c>
      <c r="P43" s="304">
        <f t="shared" si="28"/>
        <v>0</v>
      </c>
      <c r="Q43" s="83">
        <v>0</v>
      </c>
      <c r="R43" s="83">
        <v>0</v>
      </c>
      <c r="S43" s="83">
        <v>0</v>
      </c>
      <c r="T43" s="83">
        <v>0</v>
      </c>
      <c r="U43" s="304">
        <f t="shared" si="29"/>
        <v>0</v>
      </c>
      <c r="V43" s="83">
        <v>0</v>
      </c>
      <c r="W43" s="83">
        <v>0</v>
      </c>
      <c r="X43" s="83">
        <v>0</v>
      </c>
      <c r="Y43" s="83">
        <v>0</v>
      </c>
      <c r="Z43" s="304">
        <f t="shared" si="30"/>
        <v>0</v>
      </c>
      <c r="AA43" s="83">
        <v>0</v>
      </c>
      <c r="AB43" s="83">
        <v>0</v>
      </c>
      <c r="AC43" s="83">
        <v>0</v>
      </c>
      <c r="AD43" s="83">
        <v>0</v>
      </c>
      <c r="AE43" s="304">
        <f t="shared" si="31"/>
        <v>0</v>
      </c>
      <c r="AF43" s="83">
        <v>0</v>
      </c>
      <c r="AG43" s="83">
        <v>0</v>
      </c>
      <c r="AH43" s="83">
        <v>0</v>
      </c>
      <c r="AI43" s="83">
        <v>0</v>
      </c>
      <c r="AJ43" s="304">
        <f t="shared" si="32"/>
        <v>0</v>
      </c>
      <c r="AK43" s="83">
        <f>+'1.Input Cash Flow (wTrend)'!AN41</f>
        <v>0</v>
      </c>
      <c r="AL43" s="83">
        <f>+'1.Input Cash Flow (wTrend)'!AO41</f>
        <v>0</v>
      </c>
      <c r="AM43" s="83">
        <f>+'1.Input Cash Flow (wTrend)'!AP41</f>
        <v>0</v>
      </c>
      <c r="AN43" s="83">
        <f>+'1.Input Cash Flow (wTrend)'!AQ41</f>
        <v>0</v>
      </c>
      <c r="AO43" s="304">
        <f t="shared" si="33"/>
        <v>0</v>
      </c>
    </row>
    <row r="44" spans="1:41" ht="16.649999999999999" customHeight="1" x14ac:dyDescent="0.25">
      <c r="A44" s="81" t="str">
        <f>+'1.Input Cash Flow (wTrend)'!B42</f>
        <v>Fees from debt refinancing</v>
      </c>
      <c r="B44" s="83">
        <v>-4001000</v>
      </c>
      <c r="C44" s="83">
        <v>0</v>
      </c>
      <c r="D44" s="83">
        <v>0</v>
      </c>
      <c r="E44" s="83">
        <v>0</v>
      </c>
      <c r="F44" s="304">
        <f t="shared" si="26"/>
        <v>-4001000</v>
      </c>
      <c r="G44" s="83">
        <v>-300000</v>
      </c>
      <c r="H44" s="83">
        <v>0</v>
      </c>
      <c r="I44" s="83">
        <v>0</v>
      </c>
      <c r="J44" s="83">
        <v>0</v>
      </c>
      <c r="K44" s="304">
        <f t="shared" si="27"/>
        <v>-300000</v>
      </c>
      <c r="L44" s="83">
        <v>0</v>
      </c>
      <c r="M44" s="83">
        <v>0</v>
      </c>
      <c r="N44" s="83">
        <v>0</v>
      </c>
      <c r="O44" s="83">
        <v>0</v>
      </c>
      <c r="P44" s="304">
        <f t="shared" si="28"/>
        <v>0</v>
      </c>
      <c r="Q44" s="83">
        <v>0</v>
      </c>
      <c r="R44" s="83">
        <v>0</v>
      </c>
      <c r="S44" s="83">
        <v>0</v>
      </c>
      <c r="T44" s="83">
        <v>0</v>
      </c>
      <c r="U44" s="304">
        <f t="shared" si="29"/>
        <v>0</v>
      </c>
      <c r="V44" s="83">
        <v>0</v>
      </c>
      <c r="W44" s="83">
        <v>0</v>
      </c>
      <c r="X44" s="83">
        <v>0</v>
      </c>
      <c r="Y44" s="83">
        <v>0</v>
      </c>
      <c r="Z44" s="304">
        <f t="shared" si="30"/>
        <v>0</v>
      </c>
      <c r="AA44" s="83">
        <v>0</v>
      </c>
      <c r="AB44" s="83">
        <v>0</v>
      </c>
      <c r="AC44" s="83">
        <v>0</v>
      </c>
      <c r="AD44" s="83">
        <v>0</v>
      </c>
      <c r="AE44" s="304">
        <f t="shared" si="31"/>
        <v>0</v>
      </c>
      <c r="AF44" s="83">
        <v>0</v>
      </c>
      <c r="AG44" s="83">
        <v>0</v>
      </c>
      <c r="AH44" s="83">
        <v>0</v>
      </c>
      <c r="AI44" s="83">
        <v>0</v>
      </c>
      <c r="AJ44" s="304">
        <f t="shared" si="32"/>
        <v>0</v>
      </c>
      <c r="AK44" s="83">
        <f>+'1.Input Cash Flow (wTrend)'!AN42</f>
        <v>0</v>
      </c>
      <c r="AL44" s="83">
        <f>+'1.Input Cash Flow (wTrend)'!AO42</f>
        <v>0</v>
      </c>
      <c r="AM44" s="83">
        <f>+'1.Input Cash Flow (wTrend)'!AP42</f>
        <v>0</v>
      </c>
      <c r="AN44" s="83">
        <f>+'1.Input Cash Flow (wTrend)'!AQ42</f>
        <v>0</v>
      </c>
      <c r="AO44" s="304">
        <f t="shared" si="33"/>
        <v>0</v>
      </c>
    </row>
    <row r="45" spans="1:41" ht="27.5" customHeight="1" x14ac:dyDescent="0.25">
      <c r="A45" s="81" t="str">
        <f>+'1.Input Cash Flow (wTrend)'!B43</f>
        <v>Proceeds related to the issuance of common stock under stock and employee benefit plans</v>
      </c>
      <c r="B45" s="83">
        <v>4764000</v>
      </c>
      <c r="C45" s="83">
        <v>6900000</v>
      </c>
      <c r="D45" s="83">
        <v>3645000</v>
      </c>
      <c r="E45" s="83">
        <v>4418000</v>
      </c>
      <c r="F45" s="304">
        <f t="shared" si="26"/>
        <v>19727000</v>
      </c>
      <c r="G45" s="83">
        <v>4116000</v>
      </c>
      <c r="H45" s="83">
        <v>4005000</v>
      </c>
      <c r="I45" s="83">
        <v>9234000</v>
      </c>
      <c r="J45" s="83">
        <v>3064000</v>
      </c>
      <c r="K45" s="304">
        <f t="shared" si="27"/>
        <v>20419000</v>
      </c>
      <c r="L45" s="83">
        <v>1060000</v>
      </c>
      <c r="M45" s="83">
        <v>1032000</v>
      </c>
      <c r="N45" s="83">
        <v>1313000</v>
      </c>
      <c r="O45" s="83">
        <v>1331000</v>
      </c>
      <c r="P45" s="304">
        <f t="shared" si="28"/>
        <v>4736000</v>
      </c>
      <c r="Q45" s="83">
        <v>1137000</v>
      </c>
      <c r="R45" s="83">
        <v>2424000</v>
      </c>
      <c r="S45" s="83">
        <v>5115000</v>
      </c>
      <c r="T45" s="83">
        <v>61000</v>
      </c>
      <c r="U45" s="304">
        <f t="shared" si="29"/>
        <v>8737000</v>
      </c>
      <c r="V45" s="83">
        <v>3281000</v>
      </c>
      <c r="W45" s="83">
        <v>997000</v>
      </c>
      <c r="X45" s="83">
        <v>1905000</v>
      </c>
      <c r="Y45" s="83">
        <v>83000</v>
      </c>
      <c r="Z45" s="304">
        <f t="shared" si="30"/>
        <v>6266000</v>
      </c>
      <c r="AA45" s="83">
        <v>4589000</v>
      </c>
      <c r="AB45" s="83">
        <v>2000</v>
      </c>
      <c r="AC45" s="83">
        <v>1664000</v>
      </c>
      <c r="AD45" s="83">
        <v>4000</v>
      </c>
      <c r="AE45" s="304">
        <f t="shared" si="31"/>
        <v>6259000</v>
      </c>
      <c r="AF45" s="83">
        <v>5573000</v>
      </c>
      <c r="AG45" s="83">
        <v>2000</v>
      </c>
      <c r="AH45" s="83">
        <v>1646000</v>
      </c>
      <c r="AI45" s="83">
        <v>1000</v>
      </c>
      <c r="AJ45" s="304">
        <f t="shared" si="32"/>
        <v>7222000</v>
      </c>
      <c r="AK45" s="83">
        <f>+'1.Input Cash Flow (wTrend)'!AN43</f>
        <v>6167000</v>
      </c>
      <c r="AL45" s="83">
        <f>+'1.Input Cash Flow (wTrend)'!AO43</f>
        <v>160000</v>
      </c>
      <c r="AM45" s="83">
        <f>+'1.Input Cash Flow (wTrend)'!AP43</f>
        <v>2304000</v>
      </c>
      <c r="AN45" s="83">
        <f>+'1.Input Cash Flow (wTrend)'!AQ43</f>
        <v>0</v>
      </c>
      <c r="AO45" s="304">
        <f t="shared" si="33"/>
        <v>8631000</v>
      </c>
    </row>
    <row r="46" spans="1:41" ht="27.5" customHeight="1" x14ac:dyDescent="0.25">
      <c r="A46" s="81" t="str">
        <f>+'1.Input Cash Flow (wTrend)'!B44</f>
        <v>Shares repurchased for tax withholdings upon vesting of stock-based awards</v>
      </c>
      <c r="B46" s="83">
        <v>-7303000</v>
      </c>
      <c r="C46" s="83">
        <v>-666000</v>
      </c>
      <c r="D46" s="83">
        <v>-2233000</v>
      </c>
      <c r="E46" s="83">
        <v>-860000</v>
      </c>
      <c r="F46" s="304">
        <f t="shared" si="26"/>
        <v>-11062000</v>
      </c>
      <c r="G46" s="83">
        <v>-10044000</v>
      </c>
      <c r="H46" s="83">
        <v>-4580000</v>
      </c>
      <c r="I46" s="83">
        <v>-22282000</v>
      </c>
      <c r="J46" s="83">
        <v>-13614000</v>
      </c>
      <c r="K46" s="304">
        <f t="shared" si="27"/>
        <v>-50520000</v>
      </c>
      <c r="L46" s="83">
        <v>-12093000</v>
      </c>
      <c r="M46" s="83">
        <v>-1814000</v>
      </c>
      <c r="N46" s="83">
        <v>-4150000</v>
      </c>
      <c r="O46" s="83">
        <v>-6465000</v>
      </c>
      <c r="P46" s="304">
        <f t="shared" si="28"/>
        <v>-24522000</v>
      </c>
      <c r="Q46" s="83">
        <v>-1827000</v>
      </c>
      <c r="R46" s="83">
        <v>-3928000</v>
      </c>
      <c r="S46" s="83">
        <v>-3627000</v>
      </c>
      <c r="T46" s="83">
        <v>-538000</v>
      </c>
      <c r="U46" s="304">
        <f t="shared" si="29"/>
        <v>-9920000</v>
      </c>
      <c r="V46" s="83">
        <v>-11361000</v>
      </c>
      <c r="W46" s="83">
        <v>-1181000</v>
      </c>
      <c r="X46" s="83">
        <v>-1674000</v>
      </c>
      <c r="Y46" s="83">
        <v>-410000</v>
      </c>
      <c r="Z46" s="304">
        <f t="shared" si="30"/>
        <v>-14626000</v>
      </c>
      <c r="AA46" s="83">
        <v>-582000</v>
      </c>
      <c r="AB46" s="83">
        <v>-708000</v>
      </c>
      <c r="AC46" s="83">
        <v>-764000</v>
      </c>
      <c r="AD46" s="83">
        <v>-218000</v>
      </c>
      <c r="AE46" s="304">
        <f t="shared" si="31"/>
        <v>-2272000</v>
      </c>
      <c r="AF46" s="83">
        <v>-3892000</v>
      </c>
      <c r="AG46" s="83">
        <v>-677000</v>
      </c>
      <c r="AH46" s="83">
        <v>-547000</v>
      </c>
      <c r="AI46" s="83">
        <v>-719000</v>
      </c>
      <c r="AJ46" s="304">
        <f t="shared" si="32"/>
        <v>-5835000</v>
      </c>
      <c r="AK46" s="83">
        <f>+'1.Input Cash Flow (wTrend)'!AN44</f>
        <v>-6847000</v>
      </c>
      <c r="AL46" s="83">
        <f>+'1.Input Cash Flow (wTrend)'!AO44</f>
        <v>-893000</v>
      </c>
      <c r="AM46" s="83">
        <f>+'1.Input Cash Flow (wTrend)'!AP44</f>
        <v>-1565000</v>
      </c>
      <c r="AN46" s="83">
        <f>+'1.Input Cash Flow (wTrend)'!AQ44</f>
        <v>0</v>
      </c>
      <c r="AO46" s="304">
        <f t="shared" si="33"/>
        <v>-9305000</v>
      </c>
    </row>
    <row r="47" spans="1:41" ht="16.649999999999999" customHeight="1" x14ac:dyDescent="0.25">
      <c r="A47" s="81" t="str">
        <f>+'1.Input Cash Flow (wTrend)'!B46</f>
        <v>Acquisition of treasury stock</v>
      </c>
      <c r="B47" s="83">
        <v>0</v>
      </c>
      <c r="C47" s="83">
        <v>-19776000</v>
      </c>
      <c r="D47" s="83">
        <v>-19665000</v>
      </c>
      <c r="E47" s="83">
        <v>-49443000</v>
      </c>
      <c r="F47" s="304">
        <f t="shared" si="26"/>
        <v>-88884000</v>
      </c>
      <c r="G47" s="83">
        <v>-45766000</v>
      </c>
      <c r="H47" s="83">
        <v>0</v>
      </c>
      <c r="I47" s="83">
        <v>-18341000</v>
      </c>
      <c r="J47" s="83">
        <v>-10314000</v>
      </c>
      <c r="K47" s="304">
        <f t="shared" si="27"/>
        <v>-74421000</v>
      </c>
      <c r="L47" s="83">
        <v>-20099000</v>
      </c>
      <c r="M47" s="83">
        <v>-80374000</v>
      </c>
      <c r="N47" s="83">
        <v>-20715000</v>
      </c>
      <c r="O47" s="83">
        <v>-61002000</v>
      </c>
      <c r="P47" s="304">
        <f t="shared" si="28"/>
        <v>-182190000</v>
      </c>
      <c r="Q47" s="83">
        <v>-42312000</v>
      </c>
      <c r="R47" s="83">
        <v>0</v>
      </c>
      <c r="S47" s="83">
        <v>0</v>
      </c>
      <c r="T47" s="83">
        <v>0</v>
      </c>
      <c r="U47" s="304">
        <f t="shared" si="29"/>
        <v>-42312000</v>
      </c>
      <c r="V47" s="83">
        <v>-29077000</v>
      </c>
      <c r="W47" s="83">
        <v>-15000000</v>
      </c>
      <c r="X47" s="83">
        <v>-5147000</v>
      </c>
      <c r="Y47" s="83">
        <v>-9397000</v>
      </c>
      <c r="Z47" s="304">
        <f t="shared" si="30"/>
        <v>-58621000</v>
      </c>
      <c r="AA47" s="83">
        <v>-60053000</v>
      </c>
      <c r="AB47" s="83">
        <v>-40038000</v>
      </c>
      <c r="AC47" s="83">
        <v>-49906000</v>
      </c>
      <c r="AD47" s="83">
        <v>0</v>
      </c>
      <c r="AE47" s="304">
        <f t="shared" si="31"/>
        <v>-149997000</v>
      </c>
      <c r="AF47" s="83">
        <v>-20203000</v>
      </c>
      <c r="AG47" s="83">
        <v>-15122000</v>
      </c>
      <c r="AH47" s="83">
        <v>-10000000</v>
      </c>
      <c r="AI47" s="83">
        <v>-15177000</v>
      </c>
      <c r="AJ47" s="304">
        <f t="shared" si="32"/>
        <v>-60502000</v>
      </c>
      <c r="AK47" s="83">
        <f>+'1.Input Cash Flow (wTrend)'!AN46</f>
        <v>-15785000</v>
      </c>
      <c r="AL47" s="83">
        <f>+'1.Input Cash Flow (wTrend)'!AO46</f>
        <v>-49868000</v>
      </c>
      <c r="AM47" s="83">
        <f>+'1.Input Cash Flow (wTrend)'!AP46</f>
        <v>-10098000</v>
      </c>
      <c r="AN47" s="83">
        <f>+'1.Input Cash Flow (wTrend)'!AQ46</f>
        <v>0</v>
      </c>
      <c r="AO47" s="304">
        <f t="shared" si="33"/>
        <v>-75751000</v>
      </c>
    </row>
    <row r="48" spans="1:41" ht="16.649999999999999" customHeight="1" x14ac:dyDescent="0.25">
      <c r="A48" s="338" t="str">
        <f>+'1.Input Cash Flow (wTrend)'!B45</f>
        <v>Acquisition of treasury stock from tender offer</v>
      </c>
      <c r="B48" s="255">
        <v>0</v>
      </c>
      <c r="C48" s="255">
        <v>0</v>
      </c>
      <c r="D48" s="255">
        <v>0</v>
      </c>
      <c r="E48" s="255">
        <v>0</v>
      </c>
      <c r="F48" s="297">
        <f t="shared" si="26"/>
        <v>0</v>
      </c>
      <c r="G48" s="255">
        <v>0</v>
      </c>
      <c r="H48" s="255">
        <v>0</v>
      </c>
      <c r="I48" s="255">
        <v>-503393000</v>
      </c>
      <c r="J48" s="255">
        <v>0</v>
      </c>
      <c r="K48" s="297">
        <f t="shared" si="27"/>
        <v>-503393000</v>
      </c>
      <c r="L48" s="255">
        <v>0</v>
      </c>
      <c r="M48" s="255">
        <v>0</v>
      </c>
      <c r="N48" s="255">
        <v>0</v>
      </c>
      <c r="O48" s="255">
        <v>0</v>
      </c>
      <c r="P48" s="297">
        <f t="shared" si="28"/>
        <v>0</v>
      </c>
      <c r="Q48" s="255">
        <v>0</v>
      </c>
      <c r="R48" s="255">
        <v>0</v>
      </c>
      <c r="S48" s="255">
        <v>0</v>
      </c>
      <c r="T48" s="255">
        <v>0</v>
      </c>
      <c r="U48" s="297">
        <f t="shared" si="29"/>
        <v>0</v>
      </c>
      <c r="V48" s="255">
        <v>0</v>
      </c>
      <c r="W48" s="255">
        <v>0</v>
      </c>
      <c r="X48" s="255">
        <v>0</v>
      </c>
      <c r="Y48" s="255">
        <v>0</v>
      </c>
      <c r="Z48" s="297">
        <f t="shared" si="30"/>
        <v>0</v>
      </c>
      <c r="AA48" s="255">
        <v>0</v>
      </c>
      <c r="AB48" s="255">
        <v>0</v>
      </c>
      <c r="AC48" s="255">
        <v>0</v>
      </c>
      <c r="AD48" s="255">
        <v>0</v>
      </c>
      <c r="AE48" s="297">
        <f t="shared" si="31"/>
        <v>0</v>
      </c>
      <c r="AF48" s="255">
        <v>0</v>
      </c>
      <c r="AG48" s="255">
        <v>0</v>
      </c>
      <c r="AH48" s="255">
        <v>0</v>
      </c>
      <c r="AI48" s="255">
        <v>0</v>
      </c>
      <c r="AJ48" s="297">
        <f t="shared" si="32"/>
        <v>0</v>
      </c>
      <c r="AK48" s="255">
        <f>+'1.Input Cash Flow (wTrend)'!AN45</f>
        <v>0</v>
      </c>
      <c r="AL48" s="255">
        <f>+'1.Input Cash Flow (wTrend)'!AO45</f>
        <v>0</v>
      </c>
      <c r="AM48" s="255">
        <f>+'1.Input Cash Flow (wTrend)'!AP45</f>
        <v>0</v>
      </c>
      <c r="AN48" s="255">
        <f>+'1.Input Cash Flow (wTrend)'!AQ45</f>
        <v>0</v>
      </c>
      <c r="AO48" s="297">
        <f t="shared" si="33"/>
        <v>0</v>
      </c>
    </row>
    <row r="49" spans="1:41" ht="16.649999999999999" customHeight="1" x14ac:dyDescent="0.3">
      <c r="A49" s="44" t="s">
        <v>509</v>
      </c>
      <c r="B49" s="358">
        <f t="shared" ref="B49:AO49" si="34">SUM(B42:B48)</f>
        <v>-2112000</v>
      </c>
      <c r="C49" s="358">
        <f t="shared" si="34"/>
        <v>-14120000</v>
      </c>
      <c r="D49" s="358">
        <f t="shared" si="34"/>
        <v>-18835000</v>
      </c>
      <c r="E49" s="358">
        <f t="shared" si="34"/>
        <v>-46473000</v>
      </c>
      <c r="F49" s="357">
        <f t="shared" si="34"/>
        <v>-81540000</v>
      </c>
      <c r="G49" s="358">
        <f t="shared" si="34"/>
        <v>-52586000</v>
      </c>
      <c r="H49" s="358">
        <f t="shared" si="34"/>
        <v>-3276000</v>
      </c>
      <c r="I49" s="358">
        <f t="shared" si="34"/>
        <v>-764782000</v>
      </c>
      <c r="J49" s="358">
        <f t="shared" si="34"/>
        <v>-20864000</v>
      </c>
      <c r="K49" s="357">
        <f t="shared" si="34"/>
        <v>-841508000</v>
      </c>
      <c r="L49" s="358">
        <f t="shared" si="34"/>
        <v>-31132000</v>
      </c>
      <c r="M49" s="358">
        <f t="shared" si="34"/>
        <v>-81156000</v>
      </c>
      <c r="N49" s="358">
        <f t="shared" si="34"/>
        <v>-23552000</v>
      </c>
      <c r="O49" s="358">
        <f t="shared" si="34"/>
        <v>-66136000</v>
      </c>
      <c r="P49" s="357">
        <f t="shared" si="34"/>
        <v>-201976000</v>
      </c>
      <c r="Q49" s="358">
        <f t="shared" si="34"/>
        <v>-43002000</v>
      </c>
      <c r="R49" s="358">
        <f t="shared" si="34"/>
        <v>-1504000</v>
      </c>
      <c r="S49" s="358">
        <f t="shared" si="34"/>
        <v>1488000</v>
      </c>
      <c r="T49" s="358">
        <f t="shared" si="34"/>
        <v>-477000</v>
      </c>
      <c r="U49" s="357">
        <f t="shared" si="34"/>
        <v>-43495000</v>
      </c>
      <c r="V49" s="358">
        <f t="shared" si="34"/>
        <v>-37157000</v>
      </c>
      <c r="W49" s="358">
        <f t="shared" si="34"/>
        <v>-15184000</v>
      </c>
      <c r="X49" s="358">
        <f t="shared" si="34"/>
        <v>-4916000</v>
      </c>
      <c r="Y49" s="358">
        <f t="shared" si="34"/>
        <v>-9724000</v>
      </c>
      <c r="Z49" s="357">
        <f t="shared" si="34"/>
        <v>-66981000</v>
      </c>
      <c r="AA49" s="358">
        <f t="shared" si="34"/>
        <v>-56046000</v>
      </c>
      <c r="AB49" s="358">
        <f t="shared" si="34"/>
        <v>-40744000</v>
      </c>
      <c r="AC49" s="358">
        <f t="shared" si="34"/>
        <v>-49006000</v>
      </c>
      <c r="AD49" s="358">
        <f t="shared" si="34"/>
        <v>-214000</v>
      </c>
      <c r="AE49" s="357">
        <f t="shared" si="34"/>
        <v>-146010000</v>
      </c>
      <c r="AF49" s="358">
        <f t="shared" si="34"/>
        <v>-18522000</v>
      </c>
      <c r="AG49" s="358">
        <f t="shared" si="34"/>
        <v>-15797000</v>
      </c>
      <c r="AH49" s="358">
        <f t="shared" si="34"/>
        <v>-8901000</v>
      </c>
      <c r="AI49" s="358">
        <f t="shared" si="34"/>
        <v>-15895000</v>
      </c>
      <c r="AJ49" s="357">
        <f t="shared" si="34"/>
        <v>-59115000</v>
      </c>
      <c r="AK49" s="358">
        <f t="shared" si="34"/>
        <v>-16465000</v>
      </c>
      <c r="AL49" s="358">
        <f t="shared" si="34"/>
        <v>-50601000</v>
      </c>
      <c r="AM49" s="358">
        <f t="shared" si="34"/>
        <v>-9359000</v>
      </c>
      <c r="AN49" s="358">
        <f t="shared" si="34"/>
        <v>0</v>
      </c>
      <c r="AO49" s="357">
        <f t="shared" si="34"/>
        <v>-76425000</v>
      </c>
    </row>
    <row r="50" spans="1:41" ht="16.649999999999999" customHeight="1" x14ac:dyDescent="0.25">
      <c r="F50" s="319"/>
      <c r="K50" s="319"/>
      <c r="P50" s="319"/>
      <c r="U50" s="319"/>
      <c r="Z50" s="319"/>
      <c r="AE50" s="319"/>
      <c r="AJ50" s="319"/>
      <c r="AO50" s="319"/>
    </row>
    <row r="51" spans="1:41" ht="16.649999999999999" customHeight="1" x14ac:dyDescent="0.3">
      <c r="A51" s="2" t="str">
        <f>+'1.Input Cash Flow (wTrend)'!B53</f>
        <v>Cash flows from discontinued operations:</v>
      </c>
      <c r="F51" s="319"/>
      <c r="K51" s="319"/>
      <c r="P51" s="319"/>
      <c r="U51" s="319"/>
      <c r="Z51" s="319"/>
      <c r="AE51" s="319"/>
      <c r="AJ51" s="319"/>
      <c r="AO51" s="319"/>
    </row>
    <row r="52" spans="1:41" ht="16.649999999999999" customHeight="1" x14ac:dyDescent="0.25">
      <c r="A52" s="81" t="str">
        <f>+'1.Input Cash Flow (wTrend)'!B54</f>
        <v>From operating activities</v>
      </c>
      <c r="B52" s="83">
        <v>16463000</v>
      </c>
      <c r="C52" s="83">
        <v>35656000</v>
      </c>
      <c r="D52" s="83">
        <v>29250000</v>
      </c>
      <c r="E52" s="83">
        <v>44276000</v>
      </c>
      <c r="F52" s="304">
        <f>SUM(B52:E52)</f>
        <v>125645000</v>
      </c>
      <c r="G52" s="83">
        <v>20181000</v>
      </c>
      <c r="H52" s="83">
        <v>34135000</v>
      </c>
      <c r="I52" s="83">
        <v>-13336000</v>
      </c>
      <c r="J52" s="83">
        <v>-499505000</v>
      </c>
      <c r="K52" s="304">
        <f>SUM(G52:J52)</f>
        <v>-458525000</v>
      </c>
      <c r="L52" s="83">
        <v>0</v>
      </c>
      <c r="M52" s="83">
        <v>0</v>
      </c>
      <c r="N52" s="83">
        <v>0</v>
      </c>
      <c r="O52" s="83">
        <v>-207000</v>
      </c>
      <c r="P52" s="304">
        <f>SUM(L52:O52)</f>
        <v>-207000</v>
      </c>
      <c r="Q52" s="83">
        <v>0</v>
      </c>
      <c r="R52" s="83">
        <v>0</v>
      </c>
      <c r="S52" s="83">
        <v>0</v>
      </c>
      <c r="T52" s="83">
        <v>0</v>
      </c>
      <c r="U52" s="304">
        <f>SUM(Q52:T52)</f>
        <v>0</v>
      </c>
      <c r="V52" s="83">
        <v>0</v>
      </c>
      <c r="W52" s="83">
        <v>0</v>
      </c>
      <c r="X52" s="83">
        <v>0</v>
      </c>
      <c r="Y52" s="83">
        <v>0</v>
      </c>
      <c r="Z52" s="304">
        <f>SUM(V52:Y52)</f>
        <v>0</v>
      </c>
      <c r="AA52" s="83">
        <v>0</v>
      </c>
      <c r="AB52" s="83">
        <v>0</v>
      </c>
      <c r="AC52" s="83">
        <v>836000</v>
      </c>
      <c r="AD52" s="83">
        <v>4568000</v>
      </c>
      <c r="AE52" s="304">
        <f>SUM(AA52:AD52)</f>
        <v>5404000</v>
      </c>
      <c r="AF52" s="83">
        <v>0</v>
      </c>
      <c r="AG52" s="83">
        <v>387000</v>
      </c>
      <c r="AH52" s="83">
        <v>598000</v>
      </c>
      <c r="AI52" s="83">
        <v>805000</v>
      </c>
      <c r="AJ52" s="304">
        <f>SUM(AF52:AI52)</f>
        <v>1790000</v>
      </c>
      <c r="AK52" s="83">
        <f>+'1.Input Cash Flow (wTrend)'!AN54</f>
        <v>0</v>
      </c>
      <c r="AL52" s="83">
        <f>+'1.Input Cash Flow (wTrend)'!AO54</f>
        <v>0</v>
      </c>
      <c r="AM52" s="83">
        <f>+'1.Input Cash Flow (wTrend)'!AP54</f>
        <v>2486000</v>
      </c>
      <c r="AN52" s="83">
        <f>+'1.Input Cash Flow (wTrend)'!AQ54</f>
        <v>0</v>
      </c>
      <c r="AO52" s="304">
        <f>SUM(AK52:AN52)</f>
        <v>2486000</v>
      </c>
    </row>
    <row r="53" spans="1:41" ht="16.649999999999999" customHeight="1" x14ac:dyDescent="0.25">
      <c r="A53" s="81" t="str">
        <f>+'1.Input Cash Flow (wTrend)'!B55</f>
        <v>From investing activities</v>
      </c>
      <c r="B53" s="83">
        <v>-7534000</v>
      </c>
      <c r="C53" s="83">
        <v>-10651000</v>
      </c>
      <c r="D53" s="83">
        <v>-12749000</v>
      </c>
      <c r="E53" s="83">
        <v>-15268000</v>
      </c>
      <c r="F53" s="304">
        <f>SUM(B53:E53)</f>
        <v>-46202000</v>
      </c>
      <c r="G53" s="83">
        <v>-6573000</v>
      </c>
      <c r="H53" s="83">
        <v>-7929000</v>
      </c>
      <c r="I53" s="83">
        <v>2251032000</v>
      </c>
      <c r="J53" s="83">
        <v>0</v>
      </c>
      <c r="K53" s="304">
        <f>SUM(G53:J53)</f>
        <v>2236530000</v>
      </c>
      <c r="L53" s="83">
        <v>0</v>
      </c>
      <c r="M53" s="83">
        <v>0</v>
      </c>
      <c r="N53" s="83">
        <v>0</v>
      </c>
      <c r="O53" s="83">
        <v>18582000</v>
      </c>
      <c r="P53" s="304">
        <f>SUM(L53:O53)</f>
        <v>18582000</v>
      </c>
      <c r="Q53" s="83">
        <v>0</v>
      </c>
      <c r="R53" s="83">
        <v>0</v>
      </c>
      <c r="S53" s="83">
        <v>0</v>
      </c>
      <c r="T53" s="83">
        <v>0</v>
      </c>
      <c r="U53" s="304">
        <f>SUM(Q53:T53)</f>
        <v>0</v>
      </c>
      <c r="V53" s="83">
        <v>0</v>
      </c>
      <c r="W53" s="83">
        <v>0</v>
      </c>
      <c r="X53" s="83">
        <v>0</v>
      </c>
      <c r="Y53" s="83">
        <v>0</v>
      </c>
      <c r="Z53" s="304">
        <f>SUM(V53:Y53)</f>
        <v>0</v>
      </c>
      <c r="AA53" s="83">
        <v>0</v>
      </c>
      <c r="AB53" s="83">
        <v>0</v>
      </c>
      <c r="AC53" s="83">
        <v>0</v>
      </c>
      <c r="AD53" s="83">
        <v>0</v>
      </c>
      <c r="AE53" s="304">
        <f>SUM(AA53:AD53)</f>
        <v>0</v>
      </c>
      <c r="AF53" s="83">
        <v>0</v>
      </c>
      <c r="AG53" s="83">
        <v>0</v>
      </c>
      <c r="AH53" s="83">
        <v>0</v>
      </c>
      <c r="AI53" s="83">
        <v>0</v>
      </c>
      <c r="AJ53" s="304">
        <f>SUM(AF53:AI53)</f>
        <v>0</v>
      </c>
      <c r="AK53" s="83">
        <f>+'1.Input Cash Flow (wTrend)'!AN55</f>
        <v>0</v>
      </c>
      <c r="AL53" s="83">
        <f>+'1.Input Cash Flow (wTrend)'!AO55</f>
        <v>0</v>
      </c>
      <c r="AM53" s="83">
        <f>+'1.Input Cash Flow (wTrend)'!AP55</f>
        <v>0</v>
      </c>
      <c r="AN53" s="83">
        <f>+'1.Input Cash Flow (wTrend)'!AQ55</f>
        <v>0</v>
      </c>
      <c r="AO53" s="304">
        <f>SUM(AK53:AN53)</f>
        <v>0</v>
      </c>
    </row>
    <row r="54" spans="1:41" ht="16.649999999999999" customHeight="1" x14ac:dyDescent="0.25">
      <c r="A54" s="338" t="str">
        <f>+'1.Input Cash Flow (wTrend)'!B56</f>
        <v>From financing activities</v>
      </c>
      <c r="B54" s="255">
        <v>99000</v>
      </c>
      <c r="C54" s="255">
        <v>12000</v>
      </c>
      <c r="D54" s="255">
        <v>64000</v>
      </c>
      <c r="E54" s="255">
        <v>31000</v>
      </c>
      <c r="F54" s="297">
        <f>SUM(B54:E54)</f>
        <v>206000</v>
      </c>
      <c r="G54" s="255">
        <v>-167000</v>
      </c>
      <c r="H54" s="255">
        <v>-5000</v>
      </c>
      <c r="I54" s="255">
        <v>0</v>
      </c>
      <c r="J54" s="255">
        <v>0</v>
      </c>
      <c r="K54" s="297">
        <f>SUM(G54:J54)</f>
        <v>-172000</v>
      </c>
      <c r="L54" s="255">
        <v>0</v>
      </c>
      <c r="M54" s="255">
        <v>0</v>
      </c>
      <c r="N54" s="255">
        <v>0</v>
      </c>
      <c r="O54" s="255">
        <v>0</v>
      </c>
      <c r="P54" s="297">
        <f>SUM(L54:O54)</f>
        <v>0</v>
      </c>
      <c r="Q54" s="255">
        <v>0</v>
      </c>
      <c r="R54" s="255">
        <v>0</v>
      </c>
      <c r="S54" s="255">
        <v>0</v>
      </c>
      <c r="T54" s="255">
        <v>0</v>
      </c>
      <c r="U54" s="297">
        <f>SUM(Q54:T54)</f>
        <v>0</v>
      </c>
      <c r="V54" s="255">
        <v>0</v>
      </c>
      <c r="W54" s="255">
        <v>0</v>
      </c>
      <c r="X54" s="255">
        <v>0</v>
      </c>
      <c r="Y54" s="255">
        <v>0</v>
      </c>
      <c r="Z54" s="297">
        <f>SUM(V54:Y54)</f>
        <v>0</v>
      </c>
      <c r="AA54" s="255">
        <v>0</v>
      </c>
      <c r="AB54" s="255">
        <v>0</v>
      </c>
      <c r="AC54" s="255">
        <v>0</v>
      </c>
      <c r="AD54" s="255">
        <v>0</v>
      </c>
      <c r="AE54" s="297">
        <f>SUM(AA54:AD54)</f>
        <v>0</v>
      </c>
      <c r="AF54" s="255">
        <v>0</v>
      </c>
      <c r="AG54" s="255">
        <v>0</v>
      </c>
      <c r="AH54" s="255">
        <v>0</v>
      </c>
      <c r="AI54" s="255">
        <v>0</v>
      </c>
      <c r="AJ54" s="297">
        <f>SUM(AF54:AI54)</f>
        <v>0</v>
      </c>
      <c r="AK54" s="255">
        <f>+'1.Input Cash Flow (wTrend)'!AN56</f>
        <v>0</v>
      </c>
      <c r="AL54" s="255">
        <f>+'1.Input Cash Flow (wTrend)'!AO56</f>
        <v>0</v>
      </c>
      <c r="AM54" s="255">
        <f>+'1.Input Cash Flow (wTrend)'!AP56</f>
        <v>0</v>
      </c>
      <c r="AN54" s="255">
        <f>+'1.Input Cash Flow (wTrend)'!AQ56</f>
        <v>0</v>
      </c>
      <c r="AO54" s="297">
        <f>SUM(AK54:AN54)</f>
        <v>0</v>
      </c>
    </row>
    <row r="55" spans="1:41" ht="27.5" customHeight="1" x14ac:dyDescent="0.3">
      <c r="A55" s="44" t="str">
        <f>+'1.Input Cash Flow (wTrend)'!B57</f>
        <v>Net cash provided by discontinued operations</v>
      </c>
      <c r="B55" s="358">
        <f t="shared" ref="B55:AO55" si="35">SUM(B52:B54)</f>
        <v>9028000</v>
      </c>
      <c r="C55" s="358">
        <f t="shared" si="35"/>
        <v>25017000</v>
      </c>
      <c r="D55" s="358">
        <f t="shared" si="35"/>
        <v>16565000</v>
      </c>
      <c r="E55" s="358">
        <f t="shared" si="35"/>
        <v>29039000</v>
      </c>
      <c r="F55" s="357">
        <f t="shared" si="35"/>
        <v>79649000</v>
      </c>
      <c r="G55" s="358">
        <f t="shared" si="35"/>
        <v>13441000</v>
      </c>
      <c r="H55" s="358">
        <f t="shared" si="35"/>
        <v>26201000</v>
      </c>
      <c r="I55" s="358">
        <f t="shared" si="35"/>
        <v>2237696000</v>
      </c>
      <c r="J55" s="358">
        <f t="shared" si="35"/>
        <v>-499505000</v>
      </c>
      <c r="K55" s="357">
        <f t="shared" si="35"/>
        <v>1777833000</v>
      </c>
      <c r="L55" s="358">
        <f t="shared" si="35"/>
        <v>0</v>
      </c>
      <c r="M55" s="358">
        <f t="shared" si="35"/>
        <v>0</v>
      </c>
      <c r="N55" s="358">
        <f t="shared" si="35"/>
        <v>0</v>
      </c>
      <c r="O55" s="358">
        <f t="shared" si="35"/>
        <v>18375000</v>
      </c>
      <c r="P55" s="357">
        <f t="shared" si="35"/>
        <v>18375000</v>
      </c>
      <c r="Q55" s="358">
        <f t="shared" si="35"/>
        <v>0</v>
      </c>
      <c r="R55" s="358">
        <f t="shared" si="35"/>
        <v>0</v>
      </c>
      <c r="S55" s="358">
        <f t="shared" si="35"/>
        <v>0</v>
      </c>
      <c r="T55" s="358">
        <f t="shared" si="35"/>
        <v>0</v>
      </c>
      <c r="U55" s="357">
        <f t="shared" si="35"/>
        <v>0</v>
      </c>
      <c r="V55" s="358">
        <f t="shared" si="35"/>
        <v>0</v>
      </c>
      <c r="W55" s="358">
        <f t="shared" si="35"/>
        <v>0</v>
      </c>
      <c r="X55" s="358">
        <f t="shared" si="35"/>
        <v>0</v>
      </c>
      <c r="Y55" s="358">
        <f t="shared" si="35"/>
        <v>0</v>
      </c>
      <c r="Z55" s="357">
        <f t="shared" si="35"/>
        <v>0</v>
      </c>
      <c r="AA55" s="358">
        <f t="shared" si="35"/>
        <v>0</v>
      </c>
      <c r="AB55" s="358">
        <f t="shared" si="35"/>
        <v>0</v>
      </c>
      <c r="AC55" s="358">
        <f t="shared" si="35"/>
        <v>836000</v>
      </c>
      <c r="AD55" s="358">
        <f t="shared" si="35"/>
        <v>4568000</v>
      </c>
      <c r="AE55" s="357">
        <f t="shared" si="35"/>
        <v>5404000</v>
      </c>
      <c r="AF55" s="358">
        <f t="shared" si="35"/>
        <v>0</v>
      </c>
      <c r="AG55" s="358">
        <f t="shared" si="35"/>
        <v>387000</v>
      </c>
      <c r="AH55" s="358">
        <f t="shared" si="35"/>
        <v>598000</v>
      </c>
      <c r="AI55" s="358">
        <f t="shared" si="35"/>
        <v>805000</v>
      </c>
      <c r="AJ55" s="357">
        <f t="shared" si="35"/>
        <v>1790000</v>
      </c>
      <c r="AK55" s="258">
        <f t="shared" si="35"/>
        <v>0</v>
      </c>
      <c r="AL55" s="258">
        <f t="shared" si="35"/>
        <v>0</v>
      </c>
      <c r="AM55" s="258">
        <f t="shared" si="35"/>
        <v>2486000</v>
      </c>
      <c r="AN55" s="258">
        <f t="shared" si="35"/>
        <v>0</v>
      </c>
      <c r="AO55" s="357">
        <f t="shared" si="35"/>
        <v>2486000</v>
      </c>
    </row>
    <row r="56" spans="1:41" ht="15" customHeight="1" x14ac:dyDescent="0.25">
      <c r="F56" s="319"/>
      <c r="K56" s="319"/>
      <c r="P56" s="319"/>
      <c r="U56" s="319"/>
      <c r="Z56" s="319"/>
      <c r="AE56" s="319"/>
      <c r="AJ56" s="319"/>
      <c r="AO56" s="319"/>
    </row>
    <row r="57" spans="1:41" ht="16.649999999999999" customHeight="1" x14ac:dyDescent="0.25">
      <c r="A57" s="81" t="str">
        <f>+'1.Input Cash Flow (wTrend)'!B59</f>
        <v>Effect of exchange rate changes on cash</v>
      </c>
      <c r="B57" s="83">
        <v>331000</v>
      </c>
      <c r="C57" s="83">
        <v>278000</v>
      </c>
      <c r="D57" s="83">
        <v>259000</v>
      </c>
      <c r="E57" s="83">
        <v>570000</v>
      </c>
      <c r="F57" s="304">
        <f>SUM(B57:E57)</f>
        <v>1438000</v>
      </c>
      <c r="G57" s="83">
        <v>-927000</v>
      </c>
      <c r="H57" s="83">
        <v>-557000</v>
      </c>
      <c r="I57" s="83">
        <v>-327000</v>
      </c>
      <c r="J57" s="83">
        <v>61000</v>
      </c>
      <c r="K57" s="304">
        <f>SUM(G57:J57)</f>
        <v>-1750000</v>
      </c>
      <c r="L57" s="83">
        <v>-89000</v>
      </c>
      <c r="M57" s="83">
        <v>-302000</v>
      </c>
      <c r="N57" s="83">
        <v>278000</v>
      </c>
      <c r="O57" s="83">
        <v>-355000</v>
      </c>
      <c r="P57" s="304">
        <f>SUM(L57:O57)</f>
        <v>-468000</v>
      </c>
      <c r="Q57" s="83">
        <v>197000</v>
      </c>
      <c r="R57" s="83">
        <v>486000</v>
      </c>
      <c r="S57" s="83">
        <v>537000</v>
      </c>
      <c r="T57" s="83">
        <v>-210000</v>
      </c>
      <c r="U57" s="304">
        <f>SUM(Q57:T57)</f>
        <v>1010000</v>
      </c>
      <c r="V57" s="83">
        <v>261000</v>
      </c>
      <c r="W57" s="83">
        <v>-275000</v>
      </c>
      <c r="X57" s="83">
        <v>-48000</v>
      </c>
      <c r="Y57" s="83">
        <v>-137000</v>
      </c>
      <c r="Z57" s="304">
        <f>SUM(V57:Y57)</f>
        <v>-199000</v>
      </c>
      <c r="AA57" s="83">
        <v>-752000</v>
      </c>
      <c r="AB57" s="83">
        <v>-1010000</v>
      </c>
      <c r="AC57" s="83">
        <v>993000</v>
      </c>
      <c r="AD57" s="83">
        <v>219000</v>
      </c>
      <c r="AE57" s="304">
        <f>SUM(AA57:AD57)</f>
        <v>-550000</v>
      </c>
      <c r="AF57" s="83">
        <v>-293000</v>
      </c>
      <c r="AG57" s="83">
        <v>377000</v>
      </c>
      <c r="AH57" s="83">
        <v>735000</v>
      </c>
      <c r="AI57" s="83">
        <v>-447000</v>
      </c>
      <c r="AJ57" s="304">
        <f>SUM(AF57:AI57)</f>
        <v>372000</v>
      </c>
      <c r="AK57" s="83">
        <f>+'1.Input Cash Flow (wTrend)'!AN59</f>
        <v>-71000</v>
      </c>
      <c r="AL57" s="83">
        <f>+'1.Input Cash Flow (wTrend)'!AO59</f>
        <v>814000</v>
      </c>
      <c r="AM57" s="83">
        <f>+'1.Input Cash Flow (wTrend)'!AP59</f>
        <v>-1217000</v>
      </c>
      <c r="AN57" s="83">
        <f>+'1.Input Cash Flow (wTrend)'!AQ59</f>
        <v>0</v>
      </c>
      <c r="AO57" s="304">
        <f>SUM(AK57:AN57)</f>
        <v>-474000</v>
      </c>
    </row>
    <row r="58" spans="1:41" ht="15" customHeight="1" x14ac:dyDescent="0.25">
      <c r="F58" s="319"/>
      <c r="K58" s="319"/>
      <c r="P58" s="319"/>
      <c r="U58" s="319"/>
      <c r="Z58" s="319"/>
      <c r="AE58" s="319"/>
      <c r="AJ58" s="319"/>
      <c r="AO58" s="319"/>
    </row>
    <row r="59" spans="1:41" ht="27.5" customHeight="1" x14ac:dyDescent="0.25">
      <c r="A59" s="66" t="str">
        <f>+'1.Input Cash Flow (wTrend)'!B61</f>
        <v>Net change in cash, cash equivalents and restricted cash</v>
      </c>
      <c r="B59" s="83">
        <f>+B26+B39+B49+B55+B57</f>
        <v>-6507000</v>
      </c>
      <c r="C59" s="83">
        <f>+C26+C39+C49+C55+C57</f>
        <v>6178000</v>
      </c>
      <c r="D59" s="83">
        <f>+D26+D39+D49+D55+D57</f>
        <v>8016000</v>
      </c>
      <c r="E59" s="83">
        <f>+E26+E39+E49+E55+E57</f>
        <v>-36349000</v>
      </c>
      <c r="F59" s="304">
        <f>SUM(B59:E59)</f>
        <v>-28662000</v>
      </c>
      <c r="G59" s="83">
        <f>+G26+G39+G49+G55+G57</f>
        <v>-46463000</v>
      </c>
      <c r="H59" s="83">
        <f>+H26+H39+H49+H55+H57</f>
        <v>-6508000</v>
      </c>
      <c r="I59" s="83">
        <f>+I26+I39+I49+I55+I57</f>
        <v>1459727000</v>
      </c>
      <c r="J59" s="83">
        <f>+J26+J39+J49+J55+J57</f>
        <v>-485301000</v>
      </c>
      <c r="K59" s="304">
        <f>SUM(G59:J59)</f>
        <v>921455000</v>
      </c>
      <c r="L59" s="83">
        <f>+L26+L39+L49+L55+L57</f>
        <v>-55996000</v>
      </c>
      <c r="M59" s="83">
        <f>+M26+M39+M49+M55+M57</f>
        <v>-213219000</v>
      </c>
      <c r="N59" s="83">
        <f>+N26+N39+N49+N55+N57</f>
        <v>-10243000</v>
      </c>
      <c r="O59" s="83">
        <f>+O26+O39+O49+O55+O57</f>
        <v>-49389000</v>
      </c>
      <c r="P59" s="304">
        <f>SUM(L59:O59)</f>
        <v>-328847000</v>
      </c>
      <c r="Q59" s="83">
        <f>+Q26+Q39+Q49+Q55+Q57</f>
        <v>-67916000</v>
      </c>
      <c r="R59" s="83">
        <f>+R26+R39+R49+R55+R57</f>
        <v>796000</v>
      </c>
      <c r="S59" s="83">
        <f>+S26+S39+S49+S55+S57</f>
        <v>-2105000</v>
      </c>
      <c r="T59" s="83">
        <f>+T26+T39+T49+T55+T57</f>
        <v>-81714000</v>
      </c>
      <c r="U59" s="304">
        <f>SUM(Q59:T59)</f>
        <v>-150939000</v>
      </c>
      <c r="V59" s="83">
        <f>+V26+V39+V49+V55+V57</f>
        <v>-31932000</v>
      </c>
      <c r="W59" s="83">
        <f>+W26+W39+W49+W55+W57</f>
        <v>-5434000</v>
      </c>
      <c r="X59" s="83">
        <f>+X26+X39+X49+X55+X57</f>
        <v>17369000</v>
      </c>
      <c r="Y59" s="83">
        <f>+Y26+Y39+Y49+Y55+Y57</f>
        <v>38472000</v>
      </c>
      <c r="Z59" s="304">
        <f>SUM(V59:Y59)</f>
        <v>18475000</v>
      </c>
      <c r="AA59" s="83">
        <f>+AA26+AA39+AA49+AA55+AA57</f>
        <v>-91908000</v>
      </c>
      <c r="AB59" s="83">
        <f>+AB26+AB39+AB49+AB55+AB57</f>
        <v>-22652000</v>
      </c>
      <c r="AC59" s="83">
        <f>+AC26+AC39+AC49+AC55+AC57</f>
        <v>-32086000</v>
      </c>
      <c r="AD59" s="83">
        <f>+AD26+AD39+AD49+AD55+AD57</f>
        <v>10932000</v>
      </c>
      <c r="AE59" s="304">
        <f>SUM(AA59:AD59)</f>
        <v>-135714000</v>
      </c>
      <c r="AF59" s="83">
        <f>+AF26+AF39+AF49+AF55+AF57</f>
        <v>6325000</v>
      </c>
      <c r="AG59" s="83">
        <f>+AG26+AG39+AG49+AG55+AG57</f>
        <v>21396000</v>
      </c>
      <c r="AH59" s="83">
        <f>+AH26+AH39+AH49+AH55+AH57</f>
        <v>6777000</v>
      </c>
      <c r="AI59" s="83">
        <f>+AI26+AI39+AI49+AI55+AI57</f>
        <v>-159475000</v>
      </c>
      <c r="AJ59" s="304">
        <f>SUM(AF59:AI59)</f>
        <v>-124977000</v>
      </c>
      <c r="AK59" s="83">
        <f>+AK26+AK39+AK49+AK55+AK57</f>
        <v>-26457000</v>
      </c>
      <c r="AL59" s="83">
        <f>+AL26+AL39+AL49+AL55+AL57</f>
        <v>28563000</v>
      </c>
      <c r="AM59" s="83">
        <f>+AM26+AM39+AM49+AM55+AM57</f>
        <v>35788000</v>
      </c>
      <c r="AN59" s="83">
        <f>+AN26+AN39+AN49+AN55+AN57</f>
        <v>0</v>
      </c>
      <c r="AO59" s="304">
        <f>SUM(AK59:AN59)</f>
        <v>37894000</v>
      </c>
    </row>
    <row r="60" spans="1:41" ht="27.5" customHeight="1" x14ac:dyDescent="0.25">
      <c r="A60" s="359" t="str">
        <f>+'1.Input Cash Flow (wTrend)'!B62</f>
        <v>Cash, cash equivalents and restricted cash at beginning of period</v>
      </c>
      <c r="B60" s="255">
        <v>168680000</v>
      </c>
      <c r="C60" s="255">
        <f>+B61</f>
        <v>162173000</v>
      </c>
      <c r="D60" s="255">
        <f>+C61</f>
        <v>168351000</v>
      </c>
      <c r="E60" s="255">
        <f>+D61</f>
        <v>176367000</v>
      </c>
      <c r="F60" s="297">
        <f>+B60</f>
        <v>168680000</v>
      </c>
      <c r="G60" s="255">
        <f>+F61</f>
        <v>140018000</v>
      </c>
      <c r="H60" s="255">
        <f>+G61</f>
        <v>93555000</v>
      </c>
      <c r="I60" s="255">
        <f>+H61</f>
        <v>87047000</v>
      </c>
      <c r="J60" s="255">
        <f>+I61</f>
        <v>1546774000</v>
      </c>
      <c r="K60" s="297">
        <f>+G60</f>
        <v>140018000</v>
      </c>
      <c r="L60" s="255">
        <f>+K61</f>
        <v>1061473000</v>
      </c>
      <c r="M60" s="255">
        <f>+L61</f>
        <v>1005477000</v>
      </c>
      <c r="N60" s="255">
        <f>+M61</f>
        <v>792258000</v>
      </c>
      <c r="O60" s="255">
        <f>+N61</f>
        <v>782015000</v>
      </c>
      <c r="P60" s="297">
        <f>+L60</f>
        <v>1061473000</v>
      </c>
      <c r="Q60" s="255">
        <f>+P61</f>
        <v>732626000</v>
      </c>
      <c r="R60" s="255">
        <f>+Q61</f>
        <v>664710000</v>
      </c>
      <c r="S60" s="255">
        <f>+R61</f>
        <v>665506000</v>
      </c>
      <c r="T60" s="255">
        <f>+S61</f>
        <v>663401000</v>
      </c>
      <c r="U60" s="297">
        <f>+Q60</f>
        <v>732626000</v>
      </c>
      <c r="V60" s="255">
        <f>+U61</f>
        <v>581687000</v>
      </c>
      <c r="W60" s="255">
        <f>+V61</f>
        <v>549755000</v>
      </c>
      <c r="X60" s="255">
        <f>+W61</f>
        <v>544321000</v>
      </c>
      <c r="Y60" s="255">
        <f>+X61</f>
        <v>561690000</v>
      </c>
      <c r="Z60" s="297">
        <f>+V60</f>
        <v>581687000</v>
      </c>
      <c r="AA60" s="255">
        <f>+Z61</f>
        <v>600162000</v>
      </c>
      <c r="AB60" s="255">
        <f>+AA61</f>
        <v>508254000</v>
      </c>
      <c r="AC60" s="255">
        <f>+AB61</f>
        <v>485602000</v>
      </c>
      <c r="AD60" s="255">
        <f>+AC61</f>
        <v>453516000</v>
      </c>
      <c r="AE60" s="297">
        <f>+AA60</f>
        <v>600162000</v>
      </c>
      <c r="AF60" s="255">
        <f>+AE61</f>
        <v>464448000</v>
      </c>
      <c r="AG60" s="255">
        <f>+AF61</f>
        <v>470773000</v>
      </c>
      <c r="AH60" s="255">
        <f>+AG61</f>
        <v>492169000</v>
      </c>
      <c r="AI60" s="255">
        <f>+AH61</f>
        <v>498946000</v>
      </c>
      <c r="AJ60" s="297">
        <f>+AF60</f>
        <v>464448000</v>
      </c>
      <c r="AK60" s="255">
        <f>+AJ61</f>
        <v>339471000</v>
      </c>
      <c r="AL60" s="255">
        <f>+AK61</f>
        <v>313014000</v>
      </c>
      <c r="AM60" s="255">
        <f>+AL61</f>
        <v>341577000</v>
      </c>
      <c r="AN60" s="255">
        <f>+AM61</f>
        <v>377365000</v>
      </c>
      <c r="AO60" s="297">
        <f>+AK60</f>
        <v>339471000</v>
      </c>
    </row>
    <row r="61" spans="1:41" ht="27.5" customHeight="1" x14ac:dyDescent="0.3">
      <c r="A61" s="44" t="str">
        <f>+'1.Input Cash Flow (wTrend)'!B63</f>
        <v>Cash, cash equivalents and restricted cash at end of period</v>
      </c>
      <c r="B61" s="334">
        <f t="shared" ref="B61:AO61" si="36">SUM(B59:B60)</f>
        <v>162173000</v>
      </c>
      <c r="C61" s="334">
        <f t="shared" si="36"/>
        <v>168351000</v>
      </c>
      <c r="D61" s="334">
        <f t="shared" si="36"/>
        <v>176367000</v>
      </c>
      <c r="E61" s="334">
        <f t="shared" si="36"/>
        <v>140018000</v>
      </c>
      <c r="F61" s="333">
        <f t="shared" si="36"/>
        <v>140018000</v>
      </c>
      <c r="G61" s="334">
        <f t="shared" si="36"/>
        <v>93555000</v>
      </c>
      <c r="H61" s="334">
        <f t="shared" si="36"/>
        <v>87047000</v>
      </c>
      <c r="I61" s="334">
        <f t="shared" si="36"/>
        <v>1546774000</v>
      </c>
      <c r="J61" s="334">
        <f t="shared" si="36"/>
        <v>1061473000</v>
      </c>
      <c r="K61" s="333">
        <f t="shared" si="36"/>
        <v>1061473000</v>
      </c>
      <c r="L61" s="334">
        <f t="shared" si="36"/>
        <v>1005477000</v>
      </c>
      <c r="M61" s="334">
        <f t="shared" si="36"/>
        <v>792258000</v>
      </c>
      <c r="N61" s="334">
        <f t="shared" si="36"/>
        <v>782015000</v>
      </c>
      <c r="O61" s="334">
        <f t="shared" si="36"/>
        <v>732626000</v>
      </c>
      <c r="P61" s="333">
        <f t="shared" si="36"/>
        <v>732626000</v>
      </c>
      <c r="Q61" s="334">
        <f t="shared" si="36"/>
        <v>664710000</v>
      </c>
      <c r="R61" s="334">
        <f t="shared" si="36"/>
        <v>665506000</v>
      </c>
      <c r="S61" s="334">
        <f t="shared" si="36"/>
        <v>663401000</v>
      </c>
      <c r="T61" s="334">
        <f t="shared" si="36"/>
        <v>581687000</v>
      </c>
      <c r="U61" s="333">
        <f t="shared" si="36"/>
        <v>581687000</v>
      </c>
      <c r="V61" s="334">
        <f t="shared" si="36"/>
        <v>549755000</v>
      </c>
      <c r="W61" s="334">
        <f t="shared" si="36"/>
        <v>544321000</v>
      </c>
      <c r="X61" s="334">
        <f t="shared" si="36"/>
        <v>561690000</v>
      </c>
      <c r="Y61" s="334">
        <f t="shared" si="36"/>
        <v>600162000</v>
      </c>
      <c r="Z61" s="333">
        <f t="shared" si="36"/>
        <v>600162000</v>
      </c>
      <c r="AA61" s="334">
        <f t="shared" si="36"/>
        <v>508254000</v>
      </c>
      <c r="AB61" s="334">
        <f t="shared" si="36"/>
        <v>485602000</v>
      </c>
      <c r="AC61" s="334">
        <f t="shared" si="36"/>
        <v>453516000</v>
      </c>
      <c r="AD61" s="334">
        <f t="shared" si="36"/>
        <v>464448000</v>
      </c>
      <c r="AE61" s="333">
        <f t="shared" si="36"/>
        <v>464448000</v>
      </c>
      <c r="AF61" s="334">
        <f t="shared" si="36"/>
        <v>470773000</v>
      </c>
      <c r="AG61" s="334">
        <f t="shared" si="36"/>
        <v>492169000</v>
      </c>
      <c r="AH61" s="334">
        <f t="shared" si="36"/>
        <v>498946000</v>
      </c>
      <c r="AI61" s="334">
        <f t="shared" si="36"/>
        <v>339471000</v>
      </c>
      <c r="AJ61" s="333">
        <f t="shared" si="36"/>
        <v>339471000</v>
      </c>
      <c r="AK61" s="334">
        <f t="shared" si="36"/>
        <v>313014000</v>
      </c>
      <c r="AL61" s="334">
        <f t="shared" si="36"/>
        <v>341577000</v>
      </c>
      <c r="AM61" s="334">
        <f t="shared" si="36"/>
        <v>377365000</v>
      </c>
      <c r="AN61" s="334">
        <f t="shared" si="36"/>
        <v>377365000</v>
      </c>
      <c r="AO61" s="333">
        <f t="shared" si="36"/>
        <v>377365000</v>
      </c>
    </row>
    <row r="62" spans="1:41" ht="15" customHeight="1" x14ac:dyDescent="0.25">
      <c r="F62" s="319"/>
      <c r="K62" s="319"/>
      <c r="P62" s="319"/>
      <c r="U62" s="319"/>
      <c r="Z62" s="319"/>
      <c r="AE62" s="319"/>
      <c r="AJ62" s="319"/>
      <c r="AO62" s="319"/>
    </row>
    <row r="63" spans="1:41" ht="15" customHeight="1" x14ac:dyDescent="0.25"/>
    <row r="64" spans="1:41"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sheetData>
  <pageMargins left="0.25" right="0.25" top="0.75" bottom="0.75" header="0.3" footer="0.3"/>
  <pageSetup scale="45"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H51"/>
  <sheetViews>
    <sheetView zoomScale="90" zoomScaleNormal="90" workbookViewId="0">
      <pane xSplit="1" ySplit="4" topLeftCell="V5" activePane="bottomRight" state="frozen"/>
      <selection pane="topRight"/>
      <selection pane="bottomLeft"/>
      <selection pane="bottomRight" activeCell="AG5" sqref="AG5"/>
    </sheetView>
  </sheetViews>
  <sheetFormatPr defaultColWidth="13.08984375" defaultRowHeight="12.5" outlineLevelCol="1" x14ac:dyDescent="0.25"/>
  <cols>
    <col min="1" max="1" width="51.36328125" customWidth="1"/>
    <col min="2" max="13" width="0" hidden="1" customWidth="1" outlineLevel="1"/>
    <col min="14" max="14" width="13.08984375" collapsed="1"/>
    <col min="15" max="17" width="0" hidden="1" customWidth="1" outlineLevel="1"/>
    <col min="18" max="18" width="13.08984375" collapsed="1"/>
    <col min="19" max="21" width="0" hidden="1" customWidth="1" outlineLevel="1"/>
    <col min="22" max="22" width="13.08984375" collapsed="1"/>
    <col min="34" max="34" width="0" hidden="1" customWidth="1"/>
  </cols>
  <sheetData>
    <row r="1" spans="1:34" ht="33.25" customHeight="1" x14ac:dyDescent="0.25">
      <c r="A1" s="66"/>
    </row>
    <row r="2" spans="1:34" ht="15" customHeight="1" x14ac:dyDescent="0.3">
      <c r="A2" s="325" t="s">
        <v>510</v>
      </c>
    </row>
    <row r="3" spans="1:34" ht="15" customHeight="1" x14ac:dyDescent="0.25">
      <c r="A3" s="326" t="s">
        <v>503</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row>
    <row r="4" spans="1:34" ht="15" customHeight="1" x14ac:dyDescent="0.3">
      <c r="B4" s="185" t="s">
        <v>511</v>
      </c>
      <c r="C4" s="186" t="s">
        <v>224</v>
      </c>
      <c r="D4" s="186" t="s">
        <v>225</v>
      </c>
      <c r="E4" s="186" t="s">
        <v>226</v>
      </c>
      <c r="F4" s="185" t="s">
        <v>227</v>
      </c>
      <c r="G4" s="186" t="s">
        <v>229</v>
      </c>
      <c r="H4" s="186" t="s">
        <v>230</v>
      </c>
      <c r="I4" s="186" t="s">
        <v>231</v>
      </c>
      <c r="J4" s="185" t="s">
        <v>232</v>
      </c>
      <c r="K4" s="186" t="s">
        <v>234</v>
      </c>
      <c r="L4" s="186" t="s">
        <v>235</v>
      </c>
      <c r="M4" s="186" t="s">
        <v>236</v>
      </c>
      <c r="N4" s="185" t="s">
        <v>237</v>
      </c>
      <c r="O4" s="186" t="s">
        <v>239</v>
      </c>
      <c r="P4" s="186" t="s">
        <v>240</v>
      </c>
      <c r="Q4" s="186" t="s">
        <v>241</v>
      </c>
      <c r="R4" s="185" t="s">
        <v>242</v>
      </c>
      <c r="S4" s="186" t="s">
        <v>244</v>
      </c>
      <c r="T4" s="186" t="s">
        <v>245</v>
      </c>
      <c r="U4" s="186" t="s">
        <v>246</v>
      </c>
      <c r="V4" s="185" t="s">
        <v>247</v>
      </c>
      <c r="W4" s="186" t="s">
        <v>249</v>
      </c>
      <c r="X4" s="186" t="s">
        <v>250</v>
      </c>
      <c r="Y4" s="186" t="s">
        <v>251</v>
      </c>
      <c r="Z4" s="185" t="s">
        <v>252</v>
      </c>
      <c r="AA4" s="186" t="s">
        <v>254</v>
      </c>
      <c r="AB4" s="186" t="s">
        <v>255</v>
      </c>
      <c r="AC4" s="186" t="s">
        <v>256</v>
      </c>
      <c r="AD4" s="185" t="s">
        <v>257</v>
      </c>
      <c r="AE4" s="186" t="s">
        <v>259</v>
      </c>
      <c r="AF4" s="186" t="s">
        <v>260</v>
      </c>
      <c r="AG4" s="186" t="s">
        <v>261</v>
      </c>
      <c r="AH4" s="185" t="s">
        <v>262</v>
      </c>
    </row>
    <row r="5" spans="1:34" ht="15" customHeight="1" x14ac:dyDescent="0.3">
      <c r="A5" s="360" t="s">
        <v>512</v>
      </c>
      <c r="B5" s="189"/>
      <c r="C5" s="50"/>
      <c r="D5" s="50"/>
      <c r="E5" s="50"/>
      <c r="F5" s="189"/>
      <c r="G5" s="50"/>
      <c r="H5" s="50"/>
      <c r="I5" s="50"/>
      <c r="J5" s="189"/>
      <c r="K5" s="50"/>
      <c r="L5" s="50"/>
      <c r="M5" s="50"/>
      <c r="N5" s="189"/>
      <c r="O5" s="50"/>
      <c r="P5" s="50"/>
      <c r="Q5" s="50"/>
      <c r="R5" s="189"/>
      <c r="S5" s="50"/>
      <c r="T5" s="50"/>
      <c r="U5" s="50"/>
      <c r="V5" s="189"/>
      <c r="W5" s="50"/>
      <c r="X5" s="50"/>
      <c r="Y5" s="50"/>
      <c r="Z5" s="189"/>
      <c r="AA5" s="50"/>
      <c r="AB5" s="50"/>
      <c r="AC5" s="50"/>
      <c r="AD5" s="189"/>
      <c r="AE5" s="50"/>
      <c r="AF5" s="50"/>
      <c r="AG5" s="50"/>
      <c r="AH5" s="189"/>
    </row>
    <row r="6" spans="1:34" ht="15" customHeight="1" x14ac:dyDescent="0.25">
      <c r="A6" s="1" t="s">
        <v>91</v>
      </c>
      <c r="B6" s="319"/>
      <c r="F6" s="319"/>
      <c r="J6" s="319"/>
      <c r="N6" s="319"/>
      <c r="R6" s="319"/>
      <c r="V6" s="319"/>
      <c r="Z6" s="319"/>
      <c r="AD6" s="319"/>
      <c r="AH6" s="319"/>
    </row>
    <row r="7" spans="1:34" ht="15" customHeight="1" x14ac:dyDescent="0.25">
      <c r="A7" s="1" t="s">
        <v>513</v>
      </c>
      <c r="B7" s="315">
        <v>168680000</v>
      </c>
      <c r="C7" s="316">
        <v>162173000</v>
      </c>
      <c r="D7" s="316">
        <v>168351000</v>
      </c>
      <c r="E7" s="316">
        <v>176367000</v>
      </c>
      <c r="F7" s="315">
        <v>140018000</v>
      </c>
      <c r="G7" s="316">
        <v>93555000</v>
      </c>
      <c r="H7" s="316">
        <v>87047000</v>
      </c>
      <c r="I7" s="316">
        <v>1546774000</v>
      </c>
      <c r="J7" s="315">
        <v>1061473000</v>
      </c>
      <c r="K7" s="316">
        <v>1005477000</v>
      </c>
      <c r="L7" s="316">
        <v>777443000</v>
      </c>
      <c r="M7" s="316">
        <v>767200000</v>
      </c>
      <c r="N7" s="315">
        <v>717811000</v>
      </c>
      <c r="O7" s="316">
        <v>649895000</v>
      </c>
      <c r="P7" s="316">
        <v>650691000</v>
      </c>
      <c r="Q7" s="316">
        <v>663401000</v>
      </c>
      <c r="R7" s="315">
        <v>572787000</v>
      </c>
      <c r="S7" s="316">
        <v>541024000</v>
      </c>
      <c r="T7" s="316">
        <v>535590000</v>
      </c>
      <c r="U7" s="316">
        <v>552959000</v>
      </c>
      <c r="V7" s="315">
        <v>600162000</v>
      </c>
      <c r="W7" s="316">
        <v>508254000</v>
      </c>
      <c r="X7" s="316">
        <v>485602000</v>
      </c>
      <c r="Y7" s="316">
        <v>453516000</v>
      </c>
      <c r="Z7" s="315">
        <v>464448000</v>
      </c>
      <c r="AA7" s="316">
        <v>470773000</v>
      </c>
      <c r="AB7" s="316">
        <v>492169000</v>
      </c>
      <c r="AC7" s="316">
        <v>498946000</v>
      </c>
      <c r="AD7" s="315">
        <v>336867000</v>
      </c>
      <c r="AE7" s="316">
        <f>+'1.Input BalSht'!Q10</f>
        <v>310396000</v>
      </c>
      <c r="AF7" s="316">
        <f>+'1.Input BalSht'!P10</f>
        <v>338946000</v>
      </c>
      <c r="AG7" s="316">
        <f>+'1.Input BalSht'!O10</f>
        <v>376772000</v>
      </c>
      <c r="AH7" s="315">
        <f>+'1.Input BalSht'!N10</f>
        <v>0</v>
      </c>
    </row>
    <row r="8" spans="1:34" ht="15" customHeight="1" x14ac:dyDescent="0.25">
      <c r="A8" s="1" t="s">
        <v>514</v>
      </c>
      <c r="B8" s="319"/>
      <c r="F8" s="319"/>
      <c r="G8" s="83">
        <v>0</v>
      </c>
      <c r="H8" s="83">
        <v>0</v>
      </c>
      <c r="I8" s="83">
        <v>0</v>
      </c>
      <c r="J8" s="304">
        <v>0</v>
      </c>
      <c r="K8" s="83">
        <v>0</v>
      </c>
      <c r="L8" s="83">
        <v>0</v>
      </c>
      <c r="M8" s="83">
        <v>0</v>
      </c>
      <c r="N8" s="304">
        <v>0</v>
      </c>
      <c r="O8" s="83">
        <v>0</v>
      </c>
      <c r="P8" s="83">
        <v>0</v>
      </c>
      <c r="Q8" s="83">
        <v>3000000</v>
      </c>
      <c r="R8" s="304">
        <v>7500000</v>
      </c>
      <c r="S8" s="83">
        <v>7500000</v>
      </c>
      <c r="T8" s="83">
        <v>7500000</v>
      </c>
      <c r="U8" s="83">
        <v>7500000</v>
      </c>
      <c r="V8" s="304">
        <v>7500000</v>
      </c>
      <c r="W8" s="83">
        <v>7500000</v>
      </c>
      <c r="X8" s="83">
        <v>7500000</v>
      </c>
      <c r="Y8" s="83">
        <v>7500000</v>
      </c>
      <c r="Z8" s="304">
        <v>32807000</v>
      </c>
      <c r="AA8" s="83">
        <v>33099000</v>
      </c>
      <c r="AB8" s="83">
        <v>31920000</v>
      </c>
      <c r="AC8" s="83">
        <v>32264000</v>
      </c>
      <c r="AD8" s="304">
        <v>32045000</v>
      </c>
      <c r="AE8" s="83">
        <f>+'1.Input BalSht'!Q12</f>
        <v>32333000</v>
      </c>
      <c r="AF8" s="83">
        <f>+'1.Input BalSht'!P12</f>
        <v>9494000</v>
      </c>
      <c r="AG8" s="83">
        <f>+'1.Input BalSht'!O12</f>
        <v>7500000</v>
      </c>
      <c r="AH8" s="304">
        <f>+'1.Input BalSht'!N12</f>
        <v>0</v>
      </c>
    </row>
    <row r="9" spans="1:34" ht="15" customHeight="1" x14ac:dyDescent="0.25">
      <c r="A9" s="1" t="s">
        <v>515</v>
      </c>
      <c r="B9" s="304">
        <v>0</v>
      </c>
      <c r="C9" s="83">
        <v>0</v>
      </c>
      <c r="D9" s="83">
        <v>0</v>
      </c>
      <c r="E9" s="83">
        <v>0</v>
      </c>
      <c r="F9" s="304">
        <v>0</v>
      </c>
      <c r="G9" s="83">
        <v>0</v>
      </c>
      <c r="H9" s="83">
        <v>0</v>
      </c>
      <c r="I9" s="83">
        <v>0</v>
      </c>
      <c r="J9" s="304">
        <v>0</v>
      </c>
      <c r="K9" s="83">
        <v>0</v>
      </c>
      <c r="L9" s="83">
        <v>14815000</v>
      </c>
      <c r="M9" s="83">
        <v>14815000</v>
      </c>
      <c r="N9" s="304">
        <v>14815000</v>
      </c>
      <c r="O9" s="83">
        <v>14815000</v>
      </c>
      <c r="P9" s="83">
        <v>14815000</v>
      </c>
      <c r="Q9" s="83">
        <v>0</v>
      </c>
      <c r="R9" s="304">
        <v>8900000</v>
      </c>
      <c r="S9" s="83">
        <v>8731000</v>
      </c>
      <c r="T9" s="83">
        <v>8731000</v>
      </c>
      <c r="U9" s="83">
        <v>8731000</v>
      </c>
      <c r="V9" s="304">
        <v>0</v>
      </c>
      <c r="W9" s="83">
        <v>0</v>
      </c>
      <c r="X9" s="83">
        <v>0</v>
      </c>
      <c r="Y9" s="83">
        <v>0</v>
      </c>
      <c r="Z9" s="304">
        <v>0</v>
      </c>
      <c r="AA9" s="83">
        <v>0</v>
      </c>
      <c r="AB9" s="83">
        <v>0</v>
      </c>
      <c r="AC9" s="83">
        <v>0</v>
      </c>
      <c r="AD9" s="304">
        <v>2604000</v>
      </c>
      <c r="AE9" s="83">
        <f>+'1.Input BalSht'!Q11</f>
        <v>2618000</v>
      </c>
      <c r="AF9" s="83">
        <f>+'1.Input BalSht'!P11</f>
        <v>2631000</v>
      </c>
      <c r="AG9" s="83">
        <f>+'1.Input BalSht'!O11</f>
        <v>593000</v>
      </c>
      <c r="AH9" s="304">
        <f>+'1.Input BalSht'!N11</f>
        <v>0</v>
      </c>
    </row>
    <row r="10" spans="1:34" ht="15" customHeight="1" x14ac:dyDescent="0.25">
      <c r="A10" s="1" t="s">
        <v>516</v>
      </c>
      <c r="B10" s="304">
        <v>38625000</v>
      </c>
      <c r="C10" s="83">
        <v>35334000</v>
      </c>
      <c r="D10" s="83">
        <v>43534000</v>
      </c>
      <c r="E10" s="83">
        <v>48673000</v>
      </c>
      <c r="F10" s="304">
        <v>52047000</v>
      </c>
      <c r="G10" s="83">
        <v>52895000</v>
      </c>
      <c r="H10" s="83">
        <v>41110000</v>
      </c>
      <c r="I10" s="83">
        <v>71906000</v>
      </c>
      <c r="J10" s="304">
        <v>78563000</v>
      </c>
      <c r="K10" s="83">
        <v>81061000</v>
      </c>
      <c r="L10" s="83">
        <v>88150000</v>
      </c>
      <c r="M10" s="83">
        <v>87709000</v>
      </c>
      <c r="N10" s="304">
        <v>92761000</v>
      </c>
      <c r="O10" s="83">
        <v>96472000</v>
      </c>
      <c r="P10" s="83">
        <v>99362000</v>
      </c>
      <c r="Q10" s="83">
        <v>115858000</v>
      </c>
      <c r="R10" s="304">
        <v>114284000</v>
      </c>
      <c r="S10" s="83">
        <v>120434000</v>
      </c>
      <c r="T10" s="83">
        <v>130948000</v>
      </c>
      <c r="U10" s="83">
        <v>156827000</v>
      </c>
      <c r="V10" s="304">
        <v>148343000</v>
      </c>
      <c r="W10" s="83">
        <v>154575000</v>
      </c>
      <c r="X10" s="83">
        <v>157711000</v>
      </c>
      <c r="Y10" s="83">
        <v>173409000</v>
      </c>
      <c r="Z10" s="304">
        <v>157379000</v>
      </c>
      <c r="AA10" s="83">
        <v>173083000</v>
      </c>
      <c r="AB10" s="83">
        <v>174703000</v>
      </c>
      <c r="AC10" s="83">
        <v>199383000</v>
      </c>
      <c r="AD10" s="304">
        <v>190313000</v>
      </c>
      <c r="AE10" s="83">
        <f>+'1.Input BalSht'!Q13</f>
        <v>206305000</v>
      </c>
      <c r="AF10" s="83">
        <f>+'1.Input BalSht'!P13</f>
        <v>192067000</v>
      </c>
      <c r="AG10" s="83">
        <f>+'1.Input BalSht'!O13</f>
        <v>210565000</v>
      </c>
      <c r="AH10" s="304">
        <f>+'1.Input BalSht'!N13</f>
        <v>0</v>
      </c>
    </row>
    <row r="11" spans="1:34" ht="15" customHeight="1" x14ac:dyDescent="0.25">
      <c r="A11" s="1" t="s">
        <v>517</v>
      </c>
      <c r="B11" s="304">
        <v>7525000</v>
      </c>
      <c r="C11" s="83">
        <v>16094000</v>
      </c>
      <c r="D11" s="83">
        <v>9914000</v>
      </c>
      <c r="E11" s="83">
        <v>6501000</v>
      </c>
      <c r="F11" s="304">
        <v>9977000</v>
      </c>
      <c r="G11" s="83">
        <v>11944000</v>
      </c>
      <c r="H11" s="83">
        <v>21185000</v>
      </c>
      <c r="I11" s="83">
        <v>0</v>
      </c>
      <c r="J11" s="304">
        <v>7890000</v>
      </c>
      <c r="K11" s="83">
        <v>8753000</v>
      </c>
      <c r="L11" s="83">
        <v>15676000</v>
      </c>
      <c r="M11" s="83">
        <v>17129000</v>
      </c>
      <c r="N11" s="304">
        <v>38340000</v>
      </c>
      <c r="O11" s="83">
        <v>39776000</v>
      </c>
      <c r="P11" s="83">
        <v>42578000</v>
      </c>
      <c r="Q11" s="83">
        <v>47709000</v>
      </c>
      <c r="R11" s="304">
        <v>65692000</v>
      </c>
      <c r="S11" s="83">
        <v>64221000</v>
      </c>
      <c r="T11" s="83">
        <v>64079000</v>
      </c>
      <c r="U11" s="83">
        <v>62679000</v>
      </c>
      <c r="V11" s="304">
        <v>30354000</v>
      </c>
      <c r="W11" s="83">
        <v>28970000</v>
      </c>
      <c r="X11" s="83">
        <v>29971000</v>
      </c>
      <c r="Y11" s="83">
        <v>27097000</v>
      </c>
      <c r="Z11" s="304">
        <v>28897000</v>
      </c>
      <c r="AA11" s="83">
        <v>0</v>
      </c>
      <c r="AB11" s="83">
        <v>0</v>
      </c>
      <c r="AC11" s="83">
        <v>1143000</v>
      </c>
      <c r="AD11" s="304">
        <v>8521000</v>
      </c>
      <c r="AE11" s="83">
        <f>+'1.Input BalSht'!Q14</f>
        <v>1929000</v>
      </c>
      <c r="AF11" s="83">
        <f>+'1.Input BalSht'!P14</f>
        <v>4195000</v>
      </c>
      <c r="AG11" s="83">
        <f>+'1.Input BalSht'!O14</f>
        <v>6630000</v>
      </c>
      <c r="AH11" s="304">
        <f>+'1.Input BalSht'!N14</f>
        <v>0</v>
      </c>
    </row>
    <row r="12" spans="1:34" ht="15" customHeight="1" x14ac:dyDescent="0.25">
      <c r="A12" s="1" t="s">
        <v>518</v>
      </c>
      <c r="B12" s="304">
        <v>29137000</v>
      </c>
      <c r="C12" s="83">
        <v>28552000</v>
      </c>
      <c r="D12" s="83">
        <v>24337000</v>
      </c>
      <c r="E12" s="83">
        <v>19176000</v>
      </c>
      <c r="F12" s="304">
        <v>20173000</v>
      </c>
      <c r="G12" s="83">
        <v>20478000</v>
      </c>
      <c r="H12" s="83">
        <v>23196000</v>
      </c>
      <c r="I12" s="83">
        <v>27366000</v>
      </c>
      <c r="J12" s="304">
        <v>44150000</v>
      </c>
      <c r="K12" s="83">
        <v>42917000</v>
      </c>
      <c r="L12" s="83">
        <v>51055000</v>
      </c>
      <c r="M12" s="83">
        <v>46219000</v>
      </c>
      <c r="N12" s="304">
        <v>32666000</v>
      </c>
      <c r="O12" s="83">
        <v>24314000</v>
      </c>
      <c r="P12" s="83">
        <v>24560000</v>
      </c>
      <c r="Q12" s="83">
        <v>28685000</v>
      </c>
      <c r="R12" s="304">
        <v>56552000</v>
      </c>
      <c r="S12" s="83">
        <v>29549000</v>
      </c>
      <c r="T12" s="83">
        <v>27746000</v>
      </c>
      <c r="U12" s="83">
        <v>33084000</v>
      </c>
      <c r="V12" s="304">
        <v>29475000</v>
      </c>
      <c r="W12" s="83">
        <v>25555000</v>
      </c>
      <c r="X12" s="83">
        <v>24012000</v>
      </c>
      <c r="Y12" s="83">
        <v>34672000</v>
      </c>
      <c r="Z12" s="304">
        <v>31028000</v>
      </c>
      <c r="AA12" s="83">
        <v>29091000</v>
      </c>
      <c r="AB12" s="83">
        <v>29054000</v>
      </c>
      <c r="AC12" s="83">
        <v>37926000</v>
      </c>
      <c r="AD12" s="304">
        <v>31682000</v>
      </c>
      <c r="AE12" s="83">
        <f>+'1.Input BalSht'!Q15</f>
        <v>31456000</v>
      </c>
      <c r="AF12" s="83">
        <f>+'1.Input BalSht'!P15</f>
        <v>34787000</v>
      </c>
      <c r="AG12" s="83">
        <f>+'1.Input BalSht'!O15</f>
        <v>41747000</v>
      </c>
      <c r="AH12" s="304">
        <f>+'1.Input BalSht'!N15</f>
        <v>0</v>
      </c>
    </row>
    <row r="13" spans="1:34" ht="15" customHeight="1" x14ac:dyDescent="0.25">
      <c r="A13" s="293" t="s">
        <v>519</v>
      </c>
      <c r="B13" s="297">
        <v>672625000</v>
      </c>
      <c r="C13" s="255">
        <v>655821000</v>
      </c>
      <c r="D13" s="255">
        <v>664007000</v>
      </c>
      <c r="E13" s="255">
        <v>680059000</v>
      </c>
      <c r="F13" s="297">
        <v>688776000</v>
      </c>
      <c r="G13" s="255">
        <v>686129000</v>
      </c>
      <c r="H13" s="255">
        <v>703004000</v>
      </c>
      <c r="I13" s="255">
        <v>0</v>
      </c>
      <c r="J13" s="297">
        <v>0</v>
      </c>
      <c r="K13" s="255">
        <v>0</v>
      </c>
      <c r="L13" s="255">
        <v>0</v>
      </c>
      <c r="M13" s="255">
        <v>0</v>
      </c>
      <c r="N13" s="297">
        <v>0</v>
      </c>
      <c r="O13" s="255">
        <v>0</v>
      </c>
      <c r="P13" s="255">
        <v>0</v>
      </c>
      <c r="Q13" s="255">
        <v>0</v>
      </c>
      <c r="R13" s="297">
        <v>0</v>
      </c>
      <c r="S13" s="255">
        <v>0</v>
      </c>
      <c r="T13" s="255">
        <v>0</v>
      </c>
      <c r="U13" s="255">
        <v>0</v>
      </c>
      <c r="V13" s="297">
        <v>0</v>
      </c>
      <c r="W13" s="255">
        <v>0</v>
      </c>
      <c r="X13" s="255">
        <v>0</v>
      </c>
      <c r="Y13" s="255">
        <v>0</v>
      </c>
      <c r="Z13" s="297">
        <v>0</v>
      </c>
      <c r="AA13" s="255">
        <v>0</v>
      </c>
      <c r="AB13" s="255">
        <v>0</v>
      </c>
      <c r="AC13" s="255">
        <v>0</v>
      </c>
      <c r="AD13" s="297">
        <v>0</v>
      </c>
      <c r="AE13" s="255">
        <v>0</v>
      </c>
      <c r="AF13" s="255">
        <v>0</v>
      </c>
      <c r="AG13" s="255">
        <v>0</v>
      </c>
      <c r="AH13" s="297">
        <v>0</v>
      </c>
    </row>
    <row r="14" spans="1:34" ht="15" customHeight="1" x14ac:dyDescent="0.3">
      <c r="A14" s="348" t="s">
        <v>98</v>
      </c>
      <c r="B14" s="357">
        <v>916592000</v>
      </c>
      <c r="C14" s="358">
        <v>897974000</v>
      </c>
      <c r="D14" s="358">
        <v>910143000</v>
      </c>
      <c r="E14" s="358">
        <v>930776000</v>
      </c>
      <c r="F14" s="357">
        <v>910991000</v>
      </c>
      <c r="G14" s="358">
        <v>865001000</v>
      </c>
      <c r="H14" s="358">
        <v>875542000</v>
      </c>
      <c r="I14" s="358">
        <v>1646046000</v>
      </c>
      <c r="J14" s="357">
        <v>1192076000</v>
      </c>
      <c r="K14" s="358">
        <f t="shared" ref="K14:AH14" si="0">SUM(K7:K13)</f>
        <v>1138208000</v>
      </c>
      <c r="L14" s="358">
        <f t="shared" si="0"/>
        <v>947139000</v>
      </c>
      <c r="M14" s="358">
        <f t="shared" si="0"/>
        <v>933072000</v>
      </c>
      <c r="N14" s="357">
        <f t="shared" si="0"/>
        <v>896393000</v>
      </c>
      <c r="O14" s="358">
        <f t="shared" si="0"/>
        <v>825272000</v>
      </c>
      <c r="P14" s="358">
        <f t="shared" si="0"/>
        <v>832006000</v>
      </c>
      <c r="Q14" s="358">
        <f t="shared" si="0"/>
        <v>858653000</v>
      </c>
      <c r="R14" s="357">
        <f t="shared" si="0"/>
        <v>825715000</v>
      </c>
      <c r="S14" s="358">
        <f t="shared" si="0"/>
        <v>771459000</v>
      </c>
      <c r="T14" s="358">
        <f t="shared" si="0"/>
        <v>774594000</v>
      </c>
      <c r="U14" s="358">
        <f t="shared" si="0"/>
        <v>821780000</v>
      </c>
      <c r="V14" s="357">
        <f t="shared" si="0"/>
        <v>815834000</v>
      </c>
      <c r="W14" s="358">
        <f t="shared" si="0"/>
        <v>724854000</v>
      </c>
      <c r="X14" s="358">
        <f t="shared" si="0"/>
        <v>704796000</v>
      </c>
      <c r="Y14" s="358">
        <f t="shared" si="0"/>
        <v>696194000</v>
      </c>
      <c r="Z14" s="357">
        <f t="shared" si="0"/>
        <v>714559000</v>
      </c>
      <c r="AA14" s="358">
        <f t="shared" si="0"/>
        <v>706046000</v>
      </c>
      <c r="AB14" s="358">
        <f t="shared" si="0"/>
        <v>727846000</v>
      </c>
      <c r="AC14" s="358">
        <f t="shared" si="0"/>
        <v>769662000</v>
      </c>
      <c r="AD14" s="357">
        <f t="shared" si="0"/>
        <v>602032000</v>
      </c>
      <c r="AE14" s="358">
        <f t="shared" si="0"/>
        <v>585037000</v>
      </c>
      <c r="AF14" s="358">
        <f t="shared" si="0"/>
        <v>582120000</v>
      </c>
      <c r="AG14" s="358">
        <f t="shared" si="0"/>
        <v>643807000</v>
      </c>
      <c r="AH14" s="357">
        <f t="shared" si="0"/>
        <v>0</v>
      </c>
    </row>
    <row r="15" spans="1:34" ht="15" customHeight="1" x14ac:dyDescent="0.25">
      <c r="B15" s="319"/>
      <c r="F15" s="319"/>
      <c r="J15" s="319"/>
      <c r="N15" s="319"/>
      <c r="R15" s="319"/>
      <c r="V15" s="319"/>
      <c r="Z15" s="319"/>
      <c r="AD15" s="319"/>
      <c r="AH15" s="319"/>
    </row>
    <row r="16" spans="1:34" ht="15" customHeight="1" x14ac:dyDescent="0.25">
      <c r="A16" s="1" t="s">
        <v>520</v>
      </c>
      <c r="B16" s="304">
        <v>57668000</v>
      </c>
      <c r="C16" s="83">
        <v>62359000</v>
      </c>
      <c r="D16" s="83">
        <v>57562000</v>
      </c>
      <c r="E16" s="83">
        <v>56531000</v>
      </c>
      <c r="F16" s="304">
        <v>62353000</v>
      </c>
      <c r="G16" s="83">
        <v>62389000</v>
      </c>
      <c r="H16" s="83">
        <v>58451000</v>
      </c>
      <c r="I16" s="83">
        <v>58782000</v>
      </c>
      <c r="J16" s="304">
        <v>64852000</v>
      </c>
      <c r="K16" s="83">
        <v>68654000</v>
      </c>
      <c r="L16" s="83">
        <v>64440000</v>
      </c>
      <c r="M16" s="83">
        <v>43519000</v>
      </c>
      <c r="N16" s="304">
        <v>44786000</v>
      </c>
      <c r="O16" s="83">
        <v>45077000</v>
      </c>
      <c r="P16" s="83">
        <v>43604000</v>
      </c>
      <c r="Q16" s="83">
        <v>44076000</v>
      </c>
      <c r="R16" s="304">
        <v>44284000</v>
      </c>
      <c r="S16" s="83">
        <v>44659000</v>
      </c>
      <c r="T16" s="83">
        <v>45214000</v>
      </c>
      <c r="U16" s="83">
        <v>46666000</v>
      </c>
      <c r="V16" s="304">
        <v>45001000</v>
      </c>
      <c r="W16" s="83">
        <v>47270000</v>
      </c>
      <c r="X16" s="83">
        <v>45614000</v>
      </c>
      <c r="Y16" s="83">
        <v>42954000</v>
      </c>
      <c r="Z16" s="304">
        <v>39393000</v>
      </c>
      <c r="AA16" s="83">
        <v>37927000</v>
      </c>
      <c r="AB16" s="83">
        <v>38221000</v>
      </c>
      <c r="AC16" s="83">
        <v>35125000</v>
      </c>
      <c r="AD16" s="304">
        <v>25394000</v>
      </c>
      <c r="AE16" s="83">
        <f>+'1.Input BalSht'!Q18</f>
        <v>25413000</v>
      </c>
      <c r="AF16" s="83">
        <f>+'1.Input BalSht'!P18</f>
        <v>25678000</v>
      </c>
      <c r="AG16" s="83">
        <f>+'1.Input BalSht'!O18</f>
        <v>24099000</v>
      </c>
      <c r="AH16" s="304">
        <f>+'1.Input BalSht'!N18</f>
        <v>0</v>
      </c>
    </row>
    <row r="17" spans="1:34" ht="15" customHeight="1" x14ac:dyDescent="0.25">
      <c r="A17" s="293" t="s">
        <v>521</v>
      </c>
      <c r="B17" s="297">
        <v>22187000</v>
      </c>
      <c r="C17" s="255">
        <v>25223000</v>
      </c>
      <c r="D17" s="255">
        <v>23456000</v>
      </c>
      <c r="E17" s="255">
        <v>25337000</v>
      </c>
      <c r="F17" s="297">
        <v>30013000</v>
      </c>
      <c r="G17" s="255">
        <v>32270000</v>
      </c>
      <c r="H17" s="255">
        <v>29966000</v>
      </c>
      <c r="I17" s="255">
        <v>34195000</v>
      </c>
      <c r="J17" s="297">
        <v>38809000</v>
      </c>
      <c r="K17" s="255">
        <v>44047000</v>
      </c>
      <c r="L17" s="255">
        <v>43278000</v>
      </c>
      <c r="M17" s="255">
        <v>23137000</v>
      </c>
      <c r="N17" s="297">
        <v>25465000</v>
      </c>
      <c r="O17" s="255">
        <v>27969000</v>
      </c>
      <c r="P17" s="255">
        <v>28382000</v>
      </c>
      <c r="Q17" s="255">
        <v>30555000</v>
      </c>
      <c r="R17" s="297">
        <v>32327000</v>
      </c>
      <c r="S17" s="255">
        <v>34036000</v>
      </c>
      <c r="T17" s="255">
        <v>34916000</v>
      </c>
      <c r="U17" s="255">
        <v>36080000</v>
      </c>
      <c r="V17" s="297">
        <v>33470000</v>
      </c>
      <c r="W17" s="255">
        <v>34226000</v>
      </c>
      <c r="X17" s="255">
        <v>34573000</v>
      </c>
      <c r="Y17" s="255">
        <v>34145000</v>
      </c>
      <c r="Z17" s="297">
        <v>32308000</v>
      </c>
      <c r="AA17" s="255">
        <v>31872000</v>
      </c>
      <c r="AB17" s="255">
        <v>32647000</v>
      </c>
      <c r="AC17" s="255">
        <v>26923000</v>
      </c>
      <c r="AD17" s="297">
        <v>17213000</v>
      </c>
      <c r="AE17" s="255">
        <f>+'1.Input BalSht'!Q19</f>
        <v>17717000</v>
      </c>
      <c r="AF17" s="255">
        <f>+'1.Input BalSht'!P19</f>
        <v>18304000</v>
      </c>
      <c r="AG17" s="255">
        <f>+'1.Input BalSht'!O19</f>
        <v>17440000</v>
      </c>
      <c r="AH17" s="297">
        <f>+'1.Input BalSht'!N19</f>
        <v>0</v>
      </c>
    </row>
    <row r="18" spans="1:34" ht="15" customHeight="1" x14ac:dyDescent="0.3">
      <c r="A18" s="348" t="s">
        <v>101</v>
      </c>
      <c r="B18" s="357">
        <v>35481000</v>
      </c>
      <c r="C18" s="358">
        <v>37136000</v>
      </c>
      <c r="D18" s="358">
        <v>34106000</v>
      </c>
      <c r="E18" s="358">
        <v>31194000</v>
      </c>
      <c r="F18" s="357">
        <v>32340000</v>
      </c>
      <c r="G18" s="358">
        <v>30119000</v>
      </c>
      <c r="H18" s="358">
        <v>28485000</v>
      </c>
      <c r="I18" s="358">
        <v>24587000</v>
      </c>
      <c r="J18" s="357">
        <v>26043000</v>
      </c>
      <c r="K18" s="358">
        <f t="shared" ref="K18:AH18" si="1">+K16-K17</f>
        <v>24607000</v>
      </c>
      <c r="L18" s="358">
        <f t="shared" si="1"/>
        <v>21162000</v>
      </c>
      <c r="M18" s="358">
        <f t="shared" si="1"/>
        <v>20382000</v>
      </c>
      <c r="N18" s="357">
        <f t="shared" si="1"/>
        <v>19321000</v>
      </c>
      <c r="O18" s="358">
        <f t="shared" si="1"/>
        <v>17108000</v>
      </c>
      <c r="P18" s="358">
        <f t="shared" si="1"/>
        <v>15222000</v>
      </c>
      <c r="Q18" s="358">
        <f t="shared" si="1"/>
        <v>13521000</v>
      </c>
      <c r="R18" s="357">
        <f t="shared" si="1"/>
        <v>11957000</v>
      </c>
      <c r="S18" s="358">
        <f t="shared" si="1"/>
        <v>10623000</v>
      </c>
      <c r="T18" s="358">
        <f t="shared" si="1"/>
        <v>10298000</v>
      </c>
      <c r="U18" s="358">
        <f t="shared" si="1"/>
        <v>10586000</v>
      </c>
      <c r="V18" s="357">
        <f t="shared" si="1"/>
        <v>11531000</v>
      </c>
      <c r="W18" s="358">
        <f t="shared" si="1"/>
        <v>13044000</v>
      </c>
      <c r="X18" s="358">
        <f t="shared" si="1"/>
        <v>11041000</v>
      </c>
      <c r="Y18" s="358">
        <f t="shared" si="1"/>
        <v>8809000</v>
      </c>
      <c r="Z18" s="357">
        <f t="shared" si="1"/>
        <v>7085000</v>
      </c>
      <c r="AA18" s="358">
        <f t="shared" si="1"/>
        <v>6055000</v>
      </c>
      <c r="AB18" s="358">
        <f t="shared" si="1"/>
        <v>5574000</v>
      </c>
      <c r="AC18" s="358">
        <f t="shared" si="1"/>
        <v>8202000</v>
      </c>
      <c r="AD18" s="357">
        <f t="shared" si="1"/>
        <v>8181000</v>
      </c>
      <c r="AE18" s="358">
        <f t="shared" si="1"/>
        <v>7696000</v>
      </c>
      <c r="AF18" s="358">
        <f t="shared" si="1"/>
        <v>7374000</v>
      </c>
      <c r="AG18" s="358">
        <f t="shared" si="1"/>
        <v>6659000</v>
      </c>
      <c r="AH18" s="357">
        <f t="shared" si="1"/>
        <v>0</v>
      </c>
    </row>
    <row r="19" spans="1:34" ht="15" customHeight="1" x14ac:dyDescent="0.25">
      <c r="B19" s="319"/>
      <c r="F19" s="319"/>
      <c r="J19" s="319"/>
      <c r="N19" s="319"/>
      <c r="R19" s="319"/>
      <c r="V19" s="319"/>
      <c r="Z19" s="319"/>
      <c r="AD19" s="319"/>
      <c r="AH19" s="319"/>
    </row>
    <row r="20" spans="1:34" ht="15" customHeight="1" x14ac:dyDescent="0.25">
      <c r="A20" s="1" t="s">
        <v>522</v>
      </c>
      <c r="B20" s="304">
        <v>25422000</v>
      </c>
      <c r="C20" s="83">
        <v>22140000</v>
      </c>
      <c r="D20" s="83">
        <v>18897000</v>
      </c>
      <c r="E20" s="83">
        <v>15470000</v>
      </c>
      <c r="F20" s="304">
        <v>13970000</v>
      </c>
      <c r="G20" s="83">
        <v>10736000</v>
      </c>
      <c r="H20" s="83">
        <v>9513000</v>
      </c>
      <c r="I20" s="83">
        <v>31574000</v>
      </c>
      <c r="J20" s="304">
        <v>28592000</v>
      </c>
      <c r="K20" s="83">
        <v>27168000</v>
      </c>
      <c r="L20" s="83">
        <v>56741000</v>
      </c>
      <c r="M20" s="83">
        <v>51406000</v>
      </c>
      <c r="N20" s="304">
        <v>45200000</v>
      </c>
      <c r="O20" s="83">
        <v>39915000</v>
      </c>
      <c r="P20" s="83">
        <v>36709000</v>
      </c>
      <c r="Q20" s="83">
        <v>32577000</v>
      </c>
      <c r="R20" s="304">
        <v>39730000</v>
      </c>
      <c r="S20" s="83">
        <v>38607000</v>
      </c>
      <c r="T20" s="83">
        <v>33970000</v>
      </c>
      <c r="U20" s="83">
        <v>31536000</v>
      </c>
      <c r="V20" s="304">
        <v>26718000</v>
      </c>
      <c r="W20" s="83">
        <v>22050000</v>
      </c>
      <c r="X20" s="83">
        <v>17394000</v>
      </c>
      <c r="Y20" s="83">
        <v>13203000</v>
      </c>
      <c r="Z20" s="304">
        <v>9868000</v>
      </c>
      <c r="AA20" s="83">
        <v>6578000</v>
      </c>
      <c r="AB20" s="83">
        <v>5361000</v>
      </c>
      <c r="AC20" s="83">
        <v>4180000</v>
      </c>
      <c r="AD20" s="304">
        <v>34583000</v>
      </c>
      <c r="AE20" s="83">
        <f>+'1.Input BalSht'!Q22</f>
        <v>30737000</v>
      </c>
      <c r="AF20" s="83">
        <f>+'1.Input BalSht'!P22</f>
        <v>26989000</v>
      </c>
      <c r="AG20" s="83">
        <f>+'1.Input BalSht'!O22</f>
        <v>23302000</v>
      </c>
      <c r="AH20" s="304">
        <f>+'1.Input BalSht'!N22</f>
        <v>0</v>
      </c>
    </row>
    <row r="21" spans="1:34" ht="15" customHeight="1" x14ac:dyDescent="0.25">
      <c r="A21" s="1" t="s">
        <v>523</v>
      </c>
      <c r="B21" s="304">
        <v>200393000</v>
      </c>
      <c r="C21" s="83">
        <v>200402000</v>
      </c>
      <c r="D21" s="83">
        <v>200413000</v>
      </c>
      <c r="E21" s="83">
        <v>200407000</v>
      </c>
      <c r="F21" s="304">
        <v>203639000</v>
      </c>
      <c r="G21" s="83">
        <v>204954000</v>
      </c>
      <c r="H21" s="83">
        <v>204869000</v>
      </c>
      <c r="I21" s="83">
        <v>204671000</v>
      </c>
      <c r="J21" s="304">
        <v>204656000</v>
      </c>
      <c r="K21" s="83">
        <v>207778000</v>
      </c>
      <c r="L21" s="83">
        <v>297477000</v>
      </c>
      <c r="M21" s="83">
        <v>297780000</v>
      </c>
      <c r="N21" s="304">
        <v>297796000</v>
      </c>
      <c r="O21" s="83">
        <v>298389000</v>
      </c>
      <c r="P21" s="83">
        <v>300741000</v>
      </c>
      <c r="Q21" s="83">
        <v>301321000</v>
      </c>
      <c r="R21" s="304">
        <v>357446000</v>
      </c>
      <c r="S21" s="83">
        <v>364241000</v>
      </c>
      <c r="T21" s="83">
        <v>363895000</v>
      </c>
      <c r="U21" s="83">
        <v>363789000</v>
      </c>
      <c r="V21" s="304">
        <v>363845000</v>
      </c>
      <c r="W21" s="83">
        <v>363013000</v>
      </c>
      <c r="X21" s="83">
        <v>362517000</v>
      </c>
      <c r="Y21" s="83">
        <v>363129000</v>
      </c>
      <c r="Z21" s="304">
        <v>363116000</v>
      </c>
      <c r="AA21" s="83">
        <v>363178000</v>
      </c>
      <c r="AB21" s="83">
        <v>360016000</v>
      </c>
      <c r="AC21" s="83">
        <v>360227000</v>
      </c>
      <c r="AD21" s="304">
        <v>501756000</v>
      </c>
      <c r="AE21" s="83">
        <f>+'1.Input BalSht'!Q23</f>
        <v>501721000</v>
      </c>
      <c r="AF21" s="83">
        <f>+'1.Input BalSht'!P23</f>
        <v>501924000</v>
      </c>
      <c r="AG21" s="83">
        <f>+'1.Input BalSht'!O23</f>
        <v>501559000</v>
      </c>
      <c r="AH21" s="304">
        <f>+'1.Input BalSht'!N23</f>
        <v>0</v>
      </c>
    </row>
    <row r="22" spans="1:34" ht="15" customHeight="1" x14ac:dyDescent="0.25">
      <c r="A22" s="1" t="s">
        <v>524</v>
      </c>
      <c r="B22" s="304">
        <v>0</v>
      </c>
      <c r="C22" s="83">
        <v>0</v>
      </c>
      <c r="D22" s="83">
        <v>0</v>
      </c>
      <c r="E22" s="83">
        <v>0</v>
      </c>
      <c r="F22" s="304">
        <v>0</v>
      </c>
      <c r="G22" s="83">
        <v>7441000</v>
      </c>
      <c r="H22" s="83">
        <v>8490000</v>
      </c>
      <c r="I22" s="83">
        <v>9478000</v>
      </c>
      <c r="J22" s="304">
        <v>10741000</v>
      </c>
      <c r="K22" s="83">
        <v>10567000</v>
      </c>
      <c r="L22" s="83">
        <v>11347000</v>
      </c>
      <c r="M22" s="83">
        <v>13451000</v>
      </c>
      <c r="N22" s="304">
        <v>16014000</v>
      </c>
      <c r="O22" s="83">
        <v>17695000</v>
      </c>
      <c r="P22" s="83">
        <v>19459000</v>
      </c>
      <c r="Q22" s="83">
        <v>21096000</v>
      </c>
      <c r="R22" s="304">
        <v>22619000</v>
      </c>
      <c r="S22" s="83">
        <v>26002000</v>
      </c>
      <c r="T22" s="83">
        <v>27988000</v>
      </c>
      <c r="U22" s="83">
        <v>29483000</v>
      </c>
      <c r="V22" s="304">
        <v>30594000</v>
      </c>
      <c r="W22" s="83">
        <v>30963000</v>
      </c>
      <c r="X22" s="83">
        <v>31514000</v>
      </c>
      <c r="Y22" s="83">
        <v>32717000</v>
      </c>
      <c r="Z22" s="304">
        <v>37030000</v>
      </c>
      <c r="AA22" s="83">
        <v>36944000</v>
      </c>
      <c r="AB22" s="83">
        <v>39937000</v>
      </c>
      <c r="AC22" s="83">
        <v>44172000</v>
      </c>
      <c r="AD22" s="304">
        <v>48143000</v>
      </c>
      <c r="AE22" s="83">
        <f>+'1.Input BalSht'!Q24</f>
        <v>45402000</v>
      </c>
      <c r="AF22" s="83">
        <f>+'1.Input BalSht'!P24</f>
        <v>43456000</v>
      </c>
      <c r="AG22" s="83">
        <f>+'1.Input BalSht'!O24</f>
        <v>44497000</v>
      </c>
      <c r="AH22" s="304">
        <f>+'1.Input BalSht'!N24</f>
        <v>0</v>
      </c>
    </row>
    <row r="23" spans="1:34" ht="15" customHeight="1" x14ac:dyDescent="0.25">
      <c r="A23" s="293" t="s">
        <v>525</v>
      </c>
      <c r="B23" s="297">
        <v>47198000</v>
      </c>
      <c r="C23" s="255">
        <v>44907000</v>
      </c>
      <c r="D23" s="255">
        <v>42088000</v>
      </c>
      <c r="E23" s="255">
        <v>40566000</v>
      </c>
      <c r="F23" s="297">
        <v>37854000</v>
      </c>
      <c r="G23" s="255">
        <v>38890000</v>
      </c>
      <c r="H23" s="255">
        <v>36481000</v>
      </c>
      <c r="I23" s="255">
        <v>11162000</v>
      </c>
      <c r="J23" s="297">
        <v>10803000</v>
      </c>
      <c r="K23" s="255">
        <v>30976000</v>
      </c>
      <c r="L23" s="255">
        <v>29364000</v>
      </c>
      <c r="M23" s="255">
        <v>27761000</v>
      </c>
      <c r="N23" s="297">
        <v>27165000</v>
      </c>
      <c r="O23" s="255">
        <v>35552000</v>
      </c>
      <c r="P23" s="255">
        <v>34500000</v>
      </c>
      <c r="Q23" s="255">
        <v>32332000</v>
      </c>
      <c r="R23" s="297">
        <v>30854000</v>
      </c>
      <c r="S23" s="255">
        <v>38973000</v>
      </c>
      <c r="T23" s="255">
        <v>71627000</v>
      </c>
      <c r="U23" s="255">
        <v>85361000</v>
      </c>
      <c r="V23" s="297">
        <v>85214000</v>
      </c>
      <c r="W23" s="255">
        <v>80337000</v>
      </c>
      <c r="X23" s="255">
        <v>61237000</v>
      </c>
      <c r="Y23" s="255">
        <v>52431000</v>
      </c>
      <c r="Z23" s="297">
        <v>41045000</v>
      </c>
      <c r="AA23" s="255">
        <v>45130000</v>
      </c>
      <c r="AB23" s="255">
        <v>41785000</v>
      </c>
      <c r="AC23" s="255">
        <v>38298000</v>
      </c>
      <c r="AD23" s="297">
        <v>36748000</v>
      </c>
      <c r="AE23" s="255">
        <f>+'1.Input BalSht'!Q25</f>
        <v>35663000</v>
      </c>
      <c r="AF23" s="255">
        <f>+'1.Input BalSht'!P25</f>
        <v>33025000</v>
      </c>
      <c r="AG23" s="255">
        <f>+'1.Input BalSht'!O25</f>
        <v>33389000</v>
      </c>
      <c r="AH23" s="297">
        <f>+'1.Input BalSht'!N25</f>
        <v>0</v>
      </c>
    </row>
    <row r="24" spans="1:34" ht="15" customHeight="1" x14ac:dyDescent="0.3">
      <c r="A24" s="348" t="s">
        <v>131</v>
      </c>
      <c r="B24" s="333">
        <v>1234965000</v>
      </c>
      <c r="C24" s="334">
        <v>1214066000</v>
      </c>
      <c r="D24" s="334">
        <v>1216968000</v>
      </c>
      <c r="E24" s="334">
        <v>1226626000</v>
      </c>
      <c r="F24" s="333">
        <v>1209497000</v>
      </c>
      <c r="G24" s="334">
        <v>1167151000</v>
      </c>
      <c r="H24" s="334">
        <v>1189692000</v>
      </c>
      <c r="I24" s="334">
        <v>1927518000</v>
      </c>
      <c r="J24" s="333">
        <v>1472911000</v>
      </c>
      <c r="K24" s="334">
        <f t="shared" ref="K24:AH24" si="2">+K14+K18+SUM(K20:K23)</f>
        <v>1439304000</v>
      </c>
      <c r="L24" s="334">
        <f t="shared" si="2"/>
        <v>1363230000</v>
      </c>
      <c r="M24" s="334">
        <f t="shared" si="2"/>
        <v>1343852000</v>
      </c>
      <c r="N24" s="333">
        <f t="shared" si="2"/>
        <v>1301889000</v>
      </c>
      <c r="O24" s="334">
        <f t="shared" si="2"/>
        <v>1233931000</v>
      </c>
      <c r="P24" s="334">
        <f t="shared" si="2"/>
        <v>1238637000</v>
      </c>
      <c r="Q24" s="334">
        <f t="shared" si="2"/>
        <v>1259500000</v>
      </c>
      <c r="R24" s="333">
        <f t="shared" si="2"/>
        <v>1288321000</v>
      </c>
      <c r="S24" s="334">
        <f t="shared" si="2"/>
        <v>1249905000</v>
      </c>
      <c r="T24" s="334">
        <f t="shared" si="2"/>
        <v>1282372000</v>
      </c>
      <c r="U24" s="334">
        <f t="shared" si="2"/>
        <v>1342535000</v>
      </c>
      <c r="V24" s="333">
        <f t="shared" si="2"/>
        <v>1333736000</v>
      </c>
      <c r="W24" s="334">
        <f t="shared" si="2"/>
        <v>1234261000</v>
      </c>
      <c r="X24" s="334">
        <f t="shared" si="2"/>
        <v>1188499000</v>
      </c>
      <c r="Y24" s="334">
        <f t="shared" si="2"/>
        <v>1166483000</v>
      </c>
      <c r="Z24" s="333">
        <f t="shared" si="2"/>
        <v>1172703000</v>
      </c>
      <c r="AA24" s="334">
        <f t="shared" si="2"/>
        <v>1163931000</v>
      </c>
      <c r="AB24" s="334">
        <f t="shared" si="2"/>
        <v>1180519000</v>
      </c>
      <c r="AC24" s="334">
        <f t="shared" si="2"/>
        <v>1224741000</v>
      </c>
      <c r="AD24" s="333">
        <f t="shared" si="2"/>
        <v>1231443000</v>
      </c>
      <c r="AE24" s="334">
        <f t="shared" si="2"/>
        <v>1206256000</v>
      </c>
      <c r="AF24" s="334">
        <f t="shared" si="2"/>
        <v>1194888000</v>
      </c>
      <c r="AG24" s="334">
        <f t="shared" si="2"/>
        <v>1253213000</v>
      </c>
      <c r="AH24" s="333">
        <f t="shared" si="2"/>
        <v>0</v>
      </c>
    </row>
    <row r="25" spans="1:34" ht="15" customHeight="1" x14ac:dyDescent="0.25">
      <c r="B25" s="319"/>
      <c r="F25" s="319"/>
      <c r="J25" s="319"/>
      <c r="N25" s="319"/>
      <c r="R25" s="319"/>
      <c r="V25" s="319"/>
      <c r="Z25" s="319"/>
      <c r="AD25" s="319"/>
      <c r="AH25" s="319"/>
    </row>
    <row r="26" spans="1:34" ht="15" customHeight="1" x14ac:dyDescent="0.3">
      <c r="A26" s="360" t="s">
        <v>526</v>
      </c>
      <c r="B26" s="319"/>
      <c r="F26" s="319"/>
      <c r="J26" s="319"/>
      <c r="N26" s="319"/>
      <c r="R26" s="319"/>
      <c r="V26" s="319"/>
      <c r="Z26" s="319"/>
      <c r="AD26" s="319"/>
      <c r="AH26" s="319"/>
    </row>
    <row r="27" spans="1:34" ht="15" customHeight="1" x14ac:dyDescent="0.25">
      <c r="A27" s="1" t="s">
        <v>107</v>
      </c>
      <c r="B27" s="319"/>
      <c r="F27" s="319"/>
      <c r="J27" s="319"/>
      <c r="N27" s="319"/>
      <c r="R27" s="319"/>
      <c r="V27" s="319"/>
      <c r="Z27" s="319"/>
      <c r="AD27" s="319"/>
      <c r="AH27" s="319"/>
    </row>
    <row r="28" spans="1:34" ht="15" customHeight="1" x14ac:dyDescent="0.25">
      <c r="A28" s="1" t="s">
        <v>527</v>
      </c>
      <c r="B28" s="315">
        <v>39819000</v>
      </c>
      <c r="C28" s="316">
        <v>2339000</v>
      </c>
      <c r="D28" s="316">
        <v>2089000</v>
      </c>
      <c r="E28" s="316">
        <v>1837000</v>
      </c>
      <c r="F28" s="315">
        <v>1583000</v>
      </c>
      <c r="G28" s="316">
        <v>1327000</v>
      </c>
      <c r="H28" s="316">
        <v>0</v>
      </c>
      <c r="I28" s="316">
        <v>0</v>
      </c>
      <c r="J28" s="315">
        <v>0</v>
      </c>
      <c r="K28" s="316">
        <v>0</v>
      </c>
      <c r="L28" s="316">
        <v>0</v>
      </c>
      <c r="M28" s="316">
        <v>0</v>
      </c>
      <c r="N28" s="315">
        <v>0</v>
      </c>
      <c r="O28" s="316">
        <v>0</v>
      </c>
      <c r="P28" s="316">
        <v>0</v>
      </c>
      <c r="Q28" s="316">
        <v>0</v>
      </c>
      <c r="R28" s="315">
        <v>0</v>
      </c>
      <c r="S28" s="316">
        <v>0</v>
      </c>
      <c r="T28" s="316">
        <v>0</v>
      </c>
      <c r="U28" s="316">
        <v>0</v>
      </c>
      <c r="V28" s="315">
        <v>0</v>
      </c>
      <c r="W28" s="316">
        <v>0</v>
      </c>
      <c r="X28" s="316">
        <v>0</v>
      </c>
      <c r="Y28" s="316">
        <v>0</v>
      </c>
      <c r="Z28" s="315">
        <v>0</v>
      </c>
      <c r="AA28" s="316">
        <v>0</v>
      </c>
      <c r="AB28" s="316">
        <v>0</v>
      </c>
      <c r="AC28" s="316">
        <v>0</v>
      </c>
      <c r="AD28" s="315">
        <v>0</v>
      </c>
      <c r="AE28" s="316">
        <v>0</v>
      </c>
      <c r="AF28" s="316">
        <v>0</v>
      </c>
      <c r="AG28" s="316">
        <v>0</v>
      </c>
      <c r="AH28" s="315">
        <v>0</v>
      </c>
    </row>
    <row r="29" spans="1:34" ht="15" customHeight="1" x14ac:dyDescent="0.25">
      <c r="A29" s="1" t="s">
        <v>528</v>
      </c>
      <c r="B29" s="304">
        <v>14969000</v>
      </c>
      <c r="C29" s="83">
        <v>21210000</v>
      </c>
      <c r="D29" s="83">
        <v>22041000</v>
      </c>
      <c r="E29" s="83">
        <v>23237000</v>
      </c>
      <c r="F29" s="304">
        <v>18759000</v>
      </c>
      <c r="G29" s="83">
        <v>23304000</v>
      </c>
      <c r="H29" s="83">
        <v>15854000</v>
      </c>
      <c r="I29" s="83">
        <v>25125000</v>
      </c>
      <c r="J29" s="304">
        <v>31203000</v>
      </c>
      <c r="K29" s="83">
        <v>29930000</v>
      </c>
      <c r="L29" s="83">
        <v>31721000</v>
      </c>
      <c r="M29" s="83">
        <v>34417000</v>
      </c>
      <c r="N29" s="304">
        <v>42204000</v>
      </c>
      <c r="O29" s="83">
        <v>38380000</v>
      </c>
      <c r="P29" s="83">
        <v>38102000</v>
      </c>
      <c r="Q29" s="83">
        <v>44464000</v>
      </c>
      <c r="R29" s="304">
        <v>39955000</v>
      </c>
      <c r="S29" s="83">
        <v>32231000</v>
      </c>
      <c r="T29" s="83">
        <v>44267000</v>
      </c>
      <c r="U29" s="83">
        <v>71655000</v>
      </c>
      <c r="V29" s="304">
        <v>83197000</v>
      </c>
      <c r="W29" s="83">
        <v>66809000</v>
      </c>
      <c r="X29" s="83">
        <v>70312000</v>
      </c>
      <c r="Y29" s="83">
        <v>83938000</v>
      </c>
      <c r="Z29" s="304">
        <v>86568000</v>
      </c>
      <c r="AA29" s="83">
        <v>74077000</v>
      </c>
      <c r="AB29" s="83">
        <v>79344000</v>
      </c>
      <c r="AC29" s="83">
        <v>88797000</v>
      </c>
      <c r="AD29" s="304">
        <v>81202000</v>
      </c>
      <c r="AE29" s="83">
        <f>+'1.Input BalSht'!Q30</f>
        <v>84769000</v>
      </c>
      <c r="AF29" s="83">
        <f>+'1.Input BalSht'!P30</f>
        <v>91457000</v>
      </c>
      <c r="AG29" s="83">
        <f>+'1.Input BalSht'!O30</f>
        <v>105334000</v>
      </c>
      <c r="AH29" s="304">
        <f>+'1.Input BalSht'!N30</f>
        <v>0</v>
      </c>
    </row>
    <row r="30" spans="1:34" ht="15" customHeight="1" x14ac:dyDescent="0.25">
      <c r="A30" s="1" t="s">
        <v>529</v>
      </c>
      <c r="B30" s="304">
        <v>16298000</v>
      </c>
      <c r="C30" s="83">
        <v>8501000</v>
      </c>
      <c r="D30" s="83">
        <v>10691000</v>
      </c>
      <c r="E30" s="83">
        <v>13730000</v>
      </c>
      <c r="F30" s="304">
        <v>13774000</v>
      </c>
      <c r="G30" s="83">
        <v>10363000</v>
      </c>
      <c r="H30" s="83">
        <v>14329000</v>
      </c>
      <c r="I30" s="83">
        <v>13960000</v>
      </c>
      <c r="J30" s="304">
        <v>18715000</v>
      </c>
      <c r="K30" s="83">
        <v>17081000</v>
      </c>
      <c r="L30" s="83">
        <v>16716000</v>
      </c>
      <c r="M30" s="83">
        <v>21211000</v>
      </c>
      <c r="N30" s="304">
        <v>28791000</v>
      </c>
      <c r="O30" s="83">
        <v>16727000</v>
      </c>
      <c r="P30" s="83">
        <v>23172000</v>
      </c>
      <c r="Q30" s="83">
        <v>28599000</v>
      </c>
      <c r="R30" s="304">
        <v>46438000</v>
      </c>
      <c r="S30" s="83">
        <v>20513000</v>
      </c>
      <c r="T30" s="83">
        <v>24427000</v>
      </c>
      <c r="U30" s="83">
        <v>32496000</v>
      </c>
      <c r="V30" s="304">
        <v>39188000</v>
      </c>
      <c r="W30" s="83">
        <v>19556000</v>
      </c>
      <c r="X30" s="83">
        <v>22822000</v>
      </c>
      <c r="Y30" s="83">
        <v>33250000</v>
      </c>
      <c r="Z30" s="304">
        <v>33434000</v>
      </c>
      <c r="AA30" s="83">
        <v>23929000</v>
      </c>
      <c r="AB30" s="83">
        <v>35331000</v>
      </c>
      <c r="AC30" s="83">
        <v>47398000</v>
      </c>
      <c r="AD30" s="304">
        <v>61575000</v>
      </c>
      <c r="AE30" s="83">
        <f>+'1.Input BalSht'!Q31</f>
        <v>23216000</v>
      </c>
      <c r="AF30" s="83">
        <f>+'1.Input BalSht'!P31</f>
        <v>27340000</v>
      </c>
      <c r="AG30" s="83">
        <f>+'1.Input BalSht'!O31</f>
        <v>35639000</v>
      </c>
      <c r="AH30" s="304">
        <f>+'1.Input BalSht'!N31</f>
        <v>0</v>
      </c>
    </row>
    <row r="31" spans="1:34" ht="15" customHeight="1" x14ac:dyDescent="0.25">
      <c r="A31" s="1" t="s">
        <v>530</v>
      </c>
      <c r="B31" s="304">
        <v>43647000</v>
      </c>
      <c r="C31" s="83">
        <v>44920000</v>
      </c>
      <c r="D31" s="83">
        <v>42945000</v>
      </c>
      <c r="E31" s="83">
        <v>36876000</v>
      </c>
      <c r="F31" s="304">
        <v>39624000</v>
      </c>
      <c r="G31" s="83">
        <v>45440000</v>
      </c>
      <c r="H31" s="83">
        <v>44434000</v>
      </c>
      <c r="I31" s="83">
        <v>55135000</v>
      </c>
      <c r="J31" s="304">
        <v>40916000</v>
      </c>
      <c r="K31" s="83">
        <v>70929000</v>
      </c>
      <c r="L31" s="83">
        <v>55724000</v>
      </c>
      <c r="M31" s="83">
        <v>74079000</v>
      </c>
      <c r="N31" s="304">
        <v>68991000</v>
      </c>
      <c r="O31" s="83">
        <v>50024000</v>
      </c>
      <c r="P31" s="83">
        <v>58532000</v>
      </c>
      <c r="Q31" s="83">
        <v>72480000</v>
      </c>
      <c r="R31" s="304">
        <v>58353000</v>
      </c>
      <c r="S31" s="83">
        <v>57511000</v>
      </c>
      <c r="T31" s="83">
        <v>47766000</v>
      </c>
      <c r="U31" s="83">
        <v>56221000</v>
      </c>
      <c r="V31" s="304">
        <v>46067000</v>
      </c>
      <c r="W31" s="83">
        <v>41918000</v>
      </c>
      <c r="X31" s="83">
        <v>40667000</v>
      </c>
      <c r="Y31" s="83">
        <v>42394000</v>
      </c>
      <c r="Z31" s="304">
        <v>35736000</v>
      </c>
      <c r="AA31" s="83">
        <v>39322000</v>
      </c>
      <c r="AB31" s="83">
        <v>37133000</v>
      </c>
      <c r="AC31" s="83">
        <v>42600000</v>
      </c>
      <c r="AD31" s="304">
        <v>42857000</v>
      </c>
      <c r="AE31" s="83">
        <f>+'1.Input BalSht'!Q32</f>
        <v>43220000</v>
      </c>
      <c r="AF31" s="83">
        <f>+'1.Input BalSht'!P32</f>
        <v>44515000</v>
      </c>
      <c r="AG31" s="83">
        <f>+'1.Input BalSht'!O32</f>
        <v>45856000</v>
      </c>
      <c r="AH31" s="304">
        <f>+'1.Input BalSht'!N32</f>
        <v>0</v>
      </c>
    </row>
    <row r="32" spans="1:34" ht="15" customHeight="1" x14ac:dyDescent="0.25">
      <c r="A32" s="1" t="s">
        <v>531</v>
      </c>
      <c r="B32" s="304">
        <v>0</v>
      </c>
      <c r="C32" s="83">
        <v>0</v>
      </c>
      <c r="D32" s="83">
        <v>0</v>
      </c>
      <c r="E32" s="83">
        <v>0</v>
      </c>
      <c r="F32" s="304">
        <v>0</v>
      </c>
      <c r="G32" s="83">
        <v>0</v>
      </c>
      <c r="H32" s="83">
        <v>0</v>
      </c>
      <c r="I32" s="83">
        <v>0</v>
      </c>
      <c r="J32" s="304">
        <v>0</v>
      </c>
      <c r="K32" s="83">
        <v>0</v>
      </c>
      <c r="L32" s="83">
        <v>14815000</v>
      </c>
      <c r="M32" s="83">
        <v>14815000</v>
      </c>
      <c r="N32" s="304">
        <v>14815000</v>
      </c>
      <c r="O32" s="83">
        <v>14815000</v>
      </c>
      <c r="P32" s="83">
        <v>14815000</v>
      </c>
      <c r="Q32" s="83">
        <v>0</v>
      </c>
      <c r="R32" s="304">
        <v>8900000</v>
      </c>
      <c r="S32" s="83">
        <v>8731000</v>
      </c>
      <c r="T32" s="83">
        <v>8731000</v>
      </c>
      <c r="U32" s="83">
        <v>8731000</v>
      </c>
      <c r="V32" s="304">
        <v>0</v>
      </c>
      <c r="W32" s="83">
        <v>0</v>
      </c>
      <c r="X32" s="83">
        <v>0</v>
      </c>
      <c r="Y32" s="83">
        <v>0</v>
      </c>
      <c r="Z32" s="304">
        <v>0</v>
      </c>
      <c r="AA32" s="83">
        <v>0</v>
      </c>
      <c r="AB32" s="83">
        <v>0</v>
      </c>
      <c r="AC32" s="83">
        <v>0</v>
      </c>
      <c r="AD32" s="304">
        <v>0</v>
      </c>
      <c r="AE32" s="83">
        <f>+'1.Input BalSht'!Q33</f>
        <v>0</v>
      </c>
      <c r="AF32" s="83">
        <f>+'1.Input BalSht'!P33</f>
        <v>0</v>
      </c>
      <c r="AG32" s="83">
        <f>+'1.Input BalSht'!O33</f>
        <v>0</v>
      </c>
      <c r="AH32" s="304">
        <f>+'1.Input BalSht'!N33</f>
        <v>0</v>
      </c>
    </row>
    <row r="33" spans="1:34" ht="15" customHeight="1" x14ac:dyDescent="0.25">
      <c r="A33" s="1" t="s">
        <v>532</v>
      </c>
      <c r="B33" s="304">
        <v>4428000</v>
      </c>
      <c r="C33" s="83">
        <v>3555000</v>
      </c>
      <c r="D33" s="83">
        <v>3393000</v>
      </c>
      <c r="E33" s="83">
        <v>5208000</v>
      </c>
      <c r="F33" s="304">
        <v>4506000</v>
      </c>
      <c r="G33" s="83">
        <v>4911000</v>
      </c>
      <c r="H33" s="83">
        <v>2982000</v>
      </c>
      <c r="I33" s="83">
        <v>2929000</v>
      </c>
      <c r="J33" s="304">
        <v>4284000</v>
      </c>
      <c r="K33" s="83">
        <v>3170000</v>
      </c>
      <c r="L33" s="83">
        <v>4447000</v>
      </c>
      <c r="M33" s="83">
        <v>4553000</v>
      </c>
      <c r="N33" s="304">
        <v>6581000</v>
      </c>
      <c r="O33" s="83">
        <v>5938000</v>
      </c>
      <c r="P33" s="83">
        <v>6546000</v>
      </c>
      <c r="Q33" s="83">
        <v>11789000</v>
      </c>
      <c r="R33" s="304">
        <v>11603000</v>
      </c>
      <c r="S33" s="83">
        <v>11197000</v>
      </c>
      <c r="T33" s="83">
        <v>11058000</v>
      </c>
      <c r="U33" s="83">
        <v>14933000</v>
      </c>
      <c r="V33" s="304">
        <v>16114000</v>
      </c>
      <c r="W33" s="83">
        <v>14762000</v>
      </c>
      <c r="X33" s="83">
        <v>16397000</v>
      </c>
      <c r="Y33" s="83">
        <v>16195000</v>
      </c>
      <c r="Z33" s="304">
        <v>19091000</v>
      </c>
      <c r="AA33" s="83">
        <v>27267000</v>
      </c>
      <c r="AB33" s="83">
        <v>20978000</v>
      </c>
      <c r="AC33" s="83">
        <v>29957000</v>
      </c>
      <c r="AD33" s="304">
        <v>30942000</v>
      </c>
      <c r="AE33" s="83">
        <f>+'1.Input BalSht'!Q34</f>
        <v>38433000</v>
      </c>
      <c r="AF33" s="83">
        <f>+'1.Input BalSht'!P34</f>
        <v>36156000</v>
      </c>
      <c r="AG33" s="83">
        <f>+'1.Input BalSht'!O34</f>
        <v>44795000</v>
      </c>
      <c r="AH33" s="304">
        <f>+'1.Input BalSht'!N34</f>
        <v>0</v>
      </c>
    </row>
    <row r="34" spans="1:34" ht="15" customHeight="1" x14ac:dyDescent="0.25">
      <c r="A34" s="1" t="s">
        <v>533</v>
      </c>
      <c r="B34" s="304">
        <v>0</v>
      </c>
      <c r="C34" s="83">
        <v>0</v>
      </c>
      <c r="D34" s="83">
        <v>0</v>
      </c>
      <c r="E34" s="83">
        <v>0</v>
      </c>
      <c r="F34" s="304">
        <v>0</v>
      </c>
      <c r="G34" s="83">
        <v>0</v>
      </c>
      <c r="H34" s="83">
        <v>0</v>
      </c>
      <c r="I34" s="83">
        <v>443590000</v>
      </c>
      <c r="J34" s="304">
        <v>0</v>
      </c>
      <c r="K34" s="83">
        <v>0</v>
      </c>
      <c r="L34" s="83">
        <v>0</v>
      </c>
      <c r="M34" s="83">
        <v>0</v>
      </c>
      <c r="N34" s="304">
        <v>0</v>
      </c>
      <c r="O34" s="83">
        <v>0</v>
      </c>
      <c r="P34" s="83">
        <v>0</v>
      </c>
      <c r="Q34" s="83">
        <v>0</v>
      </c>
      <c r="R34" s="304">
        <v>0</v>
      </c>
      <c r="S34" s="83">
        <v>0</v>
      </c>
      <c r="T34" s="83">
        <v>0</v>
      </c>
      <c r="U34" s="83">
        <v>0</v>
      </c>
      <c r="V34" s="304">
        <v>0</v>
      </c>
      <c r="W34" s="83">
        <v>0</v>
      </c>
      <c r="X34" s="83">
        <v>0</v>
      </c>
      <c r="Y34" s="83">
        <v>0</v>
      </c>
      <c r="Z34" s="304">
        <v>0</v>
      </c>
      <c r="AA34" s="83">
        <v>7782000</v>
      </c>
      <c r="AB34" s="83">
        <v>13911000</v>
      </c>
      <c r="AC34" s="83">
        <v>0</v>
      </c>
      <c r="AD34" s="304">
        <v>0</v>
      </c>
      <c r="AE34" s="83">
        <f>+'1.Input BalSht'!Q35</f>
        <v>0</v>
      </c>
      <c r="AF34" s="83">
        <f>+'1.Input BalSht'!P35</f>
        <v>0</v>
      </c>
      <c r="AG34" s="83">
        <f>+'1.Input BalSht'!O35</f>
        <v>0</v>
      </c>
      <c r="AH34" s="304">
        <f>+'1.Input BalSht'!N35</f>
        <v>0</v>
      </c>
    </row>
    <row r="35" spans="1:34" ht="15" customHeight="1" x14ac:dyDescent="0.25">
      <c r="A35" s="293" t="s">
        <v>534</v>
      </c>
      <c r="B35" s="297">
        <v>114444000</v>
      </c>
      <c r="C35" s="255">
        <v>77747000</v>
      </c>
      <c r="D35" s="255">
        <v>85349000</v>
      </c>
      <c r="E35" s="255">
        <v>94355000</v>
      </c>
      <c r="F35" s="297">
        <v>104060000</v>
      </c>
      <c r="G35" s="255">
        <v>78755000</v>
      </c>
      <c r="H35" s="255">
        <v>100882000</v>
      </c>
      <c r="I35" s="255">
        <v>0</v>
      </c>
      <c r="J35" s="297">
        <v>0</v>
      </c>
      <c r="K35" s="255">
        <v>0</v>
      </c>
      <c r="L35" s="255">
        <v>0</v>
      </c>
      <c r="M35" s="255">
        <v>0</v>
      </c>
      <c r="N35" s="297">
        <v>0</v>
      </c>
      <c r="O35" s="255">
        <v>0</v>
      </c>
      <c r="P35" s="255">
        <v>0</v>
      </c>
      <c r="Q35" s="255">
        <v>0</v>
      </c>
      <c r="R35" s="297">
        <v>0</v>
      </c>
      <c r="S35" s="255">
        <v>0</v>
      </c>
      <c r="T35" s="255">
        <v>0</v>
      </c>
      <c r="U35" s="255">
        <v>0</v>
      </c>
      <c r="V35" s="297">
        <v>0</v>
      </c>
      <c r="W35" s="255">
        <v>0</v>
      </c>
      <c r="X35" s="255">
        <v>0</v>
      </c>
      <c r="Y35" s="255">
        <v>0</v>
      </c>
      <c r="Z35" s="297">
        <v>0</v>
      </c>
      <c r="AA35" s="255">
        <v>0</v>
      </c>
      <c r="AB35" s="255">
        <v>0</v>
      </c>
      <c r="AC35" s="255">
        <v>0</v>
      </c>
      <c r="AD35" s="297">
        <v>0</v>
      </c>
      <c r="AE35" s="255">
        <v>0</v>
      </c>
      <c r="AF35" s="255">
        <v>0</v>
      </c>
      <c r="AG35" s="255">
        <v>0</v>
      </c>
      <c r="AH35" s="297">
        <v>0</v>
      </c>
    </row>
    <row r="36" spans="1:34" ht="15" customHeight="1" x14ac:dyDescent="0.3">
      <c r="A36" s="348" t="s">
        <v>114</v>
      </c>
      <c r="B36" s="357">
        <v>233605000</v>
      </c>
      <c r="C36" s="358">
        <v>158272000</v>
      </c>
      <c r="D36" s="358">
        <v>166508000</v>
      </c>
      <c r="E36" s="358">
        <v>175243000</v>
      </c>
      <c r="F36" s="357">
        <v>182306000</v>
      </c>
      <c r="G36" s="358">
        <v>164100000</v>
      </c>
      <c r="H36" s="358">
        <v>178481000</v>
      </c>
      <c r="I36" s="358">
        <v>540739000</v>
      </c>
      <c r="J36" s="357">
        <v>95118000</v>
      </c>
      <c r="K36" s="358">
        <f t="shared" ref="K36:AH36" si="3">SUM(K28:K35)</f>
        <v>121110000</v>
      </c>
      <c r="L36" s="358">
        <f t="shared" si="3"/>
        <v>123423000</v>
      </c>
      <c r="M36" s="358">
        <f t="shared" si="3"/>
        <v>149075000</v>
      </c>
      <c r="N36" s="357">
        <f t="shared" si="3"/>
        <v>161382000</v>
      </c>
      <c r="O36" s="358">
        <f t="shared" si="3"/>
        <v>125884000</v>
      </c>
      <c r="P36" s="358">
        <f t="shared" si="3"/>
        <v>141167000</v>
      </c>
      <c r="Q36" s="358">
        <f t="shared" si="3"/>
        <v>157332000</v>
      </c>
      <c r="R36" s="357">
        <f t="shared" si="3"/>
        <v>165249000</v>
      </c>
      <c r="S36" s="358">
        <f t="shared" si="3"/>
        <v>130183000</v>
      </c>
      <c r="T36" s="358">
        <f t="shared" si="3"/>
        <v>136249000</v>
      </c>
      <c r="U36" s="358">
        <f t="shared" si="3"/>
        <v>184036000</v>
      </c>
      <c r="V36" s="357">
        <f t="shared" si="3"/>
        <v>184566000</v>
      </c>
      <c r="W36" s="358">
        <f t="shared" si="3"/>
        <v>143045000</v>
      </c>
      <c r="X36" s="358">
        <f t="shared" si="3"/>
        <v>150198000</v>
      </c>
      <c r="Y36" s="358">
        <f t="shared" si="3"/>
        <v>175777000</v>
      </c>
      <c r="Z36" s="357">
        <f t="shared" si="3"/>
        <v>174829000</v>
      </c>
      <c r="AA36" s="358">
        <f t="shared" si="3"/>
        <v>172377000</v>
      </c>
      <c r="AB36" s="358">
        <f t="shared" si="3"/>
        <v>186697000</v>
      </c>
      <c r="AC36" s="358">
        <f t="shared" si="3"/>
        <v>208752000</v>
      </c>
      <c r="AD36" s="357">
        <f t="shared" si="3"/>
        <v>216576000</v>
      </c>
      <c r="AE36" s="358">
        <f t="shared" si="3"/>
        <v>189638000</v>
      </c>
      <c r="AF36" s="358">
        <f t="shared" si="3"/>
        <v>199468000</v>
      </c>
      <c r="AG36" s="358">
        <f t="shared" si="3"/>
        <v>231624000</v>
      </c>
      <c r="AH36" s="357">
        <f t="shared" si="3"/>
        <v>0</v>
      </c>
    </row>
    <row r="37" spans="1:34" ht="15" customHeight="1" x14ac:dyDescent="0.25">
      <c r="B37" s="319"/>
      <c r="F37" s="319"/>
      <c r="J37" s="319"/>
      <c r="N37" s="319"/>
      <c r="R37" s="319"/>
      <c r="V37" s="319"/>
      <c r="Z37" s="319"/>
      <c r="AD37" s="319"/>
      <c r="AH37" s="319"/>
    </row>
    <row r="38" spans="1:34" ht="15" customHeight="1" x14ac:dyDescent="0.25">
      <c r="A38" s="1" t="s">
        <v>535</v>
      </c>
      <c r="B38" s="304">
        <v>189241000</v>
      </c>
      <c r="C38" s="83">
        <v>228145000</v>
      </c>
      <c r="D38" s="83">
        <v>228045000</v>
      </c>
      <c r="E38" s="83">
        <v>227943000</v>
      </c>
      <c r="F38" s="304">
        <v>227837000</v>
      </c>
      <c r="G38" s="83">
        <v>227435000</v>
      </c>
      <c r="H38" s="83">
        <v>226307000</v>
      </c>
      <c r="I38" s="83">
        <v>0</v>
      </c>
      <c r="J38" s="304">
        <v>0</v>
      </c>
      <c r="K38" s="83">
        <v>0</v>
      </c>
      <c r="L38" s="83">
        <v>0</v>
      </c>
      <c r="M38" s="83">
        <v>0</v>
      </c>
      <c r="N38" s="304">
        <v>0</v>
      </c>
      <c r="O38" s="83">
        <v>0</v>
      </c>
      <c r="P38" s="83">
        <v>0</v>
      </c>
      <c r="Q38" s="83">
        <v>0</v>
      </c>
      <c r="R38" s="304">
        <v>0</v>
      </c>
      <c r="S38" s="83">
        <v>0</v>
      </c>
      <c r="T38" s="83">
        <v>0</v>
      </c>
      <c r="U38" s="83">
        <v>0</v>
      </c>
      <c r="V38" s="304">
        <v>0</v>
      </c>
      <c r="W38" s="83">
        <v>0</v>
      </c>
      <c r="X38" s="83">
        <v>0</v>
      </c>
      <c r="Y38" s="83">
        <v>0</v>
      </c>
      <c r="Z38" s="304">
        <v>0</v>
      </c>
      <c r="AA38" s="83">
        <v>0</v>
      </c>
      <c r="AB38" s="83">
        <v>0</v>
      </c>
      <c r="AC38" s="83">
        <v>0</v>
      </c>
      <c r="AD38" s="304">
        <v>0</v>
      </c>
      <c r="AE38" s="83">
        <v>0</v>
      </c>
      <c r="AF38" s="83">
        <v>0</v>
      </c>
      <c r="AG38" s="83">
        <v>0</v>
      </c>
      <c r="AH38" s="304">
        <v>0</v>
      </c>
    </row>
    <row r="39" spans="1:34" ht="15" customHeight="1" x14ac:dyDescent="0.25">
      <c r="A39" s="1" t="s">
        <v>536</v>
      </c>
      <c r="B39" s="304">
        <v>58374000</v>
      </c>
      <c r="C39" s="83">
        <v>60026000</v>
      </c>
      <c r="D39" s="83">
        <v>54256000</v>
      </c>
      <c r="E39" s="83">
        <v>34300000</v>
      </c>
      <c r="F39" s="304">
        <v>40243000</v>
      </c>
      <c r="G39" s="83">
        <v>42258000</v>
      </c>
      <c r="H39" s="83">
        <v>20675000</v>
      </c>
      <c r="I39" s="83">
        <v>0</v>
      </c>
      <c r="J39" s="304">
        <v>0</v>
      </c>
      <c r="K39" s="83">
        <v>0</v>
      </c>
      <c r="L39" s="83">
        <v>0</v>
      </c>
      <c r="M39" s="83">
        <v>0</v>
      </c>
      <c r="N39" s="304">
        <v>0</v>
      </c>
      <c r="O39" s="83">
        <v>0</v>
      </c>
      <c r="P39" s="83">
        <v>0</v>
      </c>
      <c r="Q39" s="83">
        <v>0</v>
      </c>
      <c r="R39" s="304">
        <v>0</v>
      </c>
      <c r="S39" s="83">
        <v>0</v>
      </c>
      <c r="T39" s="83">
        <v>0</v>
      </c>
      <c r="U39" s="83">
        <v>0</v>
      </c>
      <c r="V39" s="304">
        <v>0</v>
      </c>
      <c r="W39" s="83">
        <v>0</v>
      </c>
      <c r="X39" s="83">
        <v>0</v>
      </c>
      <c r="Y39" s="83">
        <v>0</v>
      </c>
      <c r="Z39" s="304">
        <v>0</v>
      </c>
      <c r="AA39" s="83">
        <v>0</v>
      </c>
      <c r="AB39" s="83">
        <v>0</v>
      </c>
      <c r="AC39" s="83">
        <v>0</v>
      </c>
      <c r="AD39" s="304">
        <v>0</v>
      </c>
      <c r="AE39" s="83">
        <v>0</v>
      </c>
      <c r="AF39" s="83">
        <v>0</v>
      </c>
      <c r="AG39" s="83">
        <v>0</v>
      </c>
      <c r="AH39" s="304">
        <v>0</v>
      </c>
    </row>
    <row r="40" spans="1:34" ht="15" customHeight="1" x14ac:dyDescent="0.25">
      <c r="A40" s="1" t="s">
        <v>537</v>
      </c>
      <c r="B40" s="304">
        <v>14765000</v>
      </c>
      <c r="C40" s="83">
        <v>14166000</v>
      </c>
      <c r="D40" s="83">
        <v>15063000</v>
      </c>
      <c r="E40" s="83">
        <v>15029000</v>
      </c>
      <c r="F40" s="304">
        <v>10016000</v>
      </c>
      <c r="G40" s="83">
        <v>11302000</v>
      </c>
      <c r="H40" s="83">
        <v>8380000</v>
      </c>
      <c r="I40" s="83">
        <v>29863000</v>
      </c>
      <c r="J40" s="304">
        <v>46961000</v>
      </c>
      <c r="K40" s="83">
        <v>46037000</v>
      </c>
      <c r="L40" s="83">
        <v>53449000</v>
      </c>
      <c r="M40" s="83">
        <v>52236000</v>
      </c>
      <c r="N40" s="304">
        <v>52995000</v>
      </c>
      <c r="O40" s="83">
        <v>49758000</v>
      </c>
      <c r="P40" s="83">
        <v>46608000</v>
      </c>
      <c r="Q40" s="83">
        <v>43667000</v>
      </c>
      <c r="R40" s="304">
        <v>42389000</v>
      </c>
      <c r="S40" s="83">
        <v>39126000</v>
      </c>
      <c r="T40" s="83">
        <v>73176000</v>
      </c>
      <c r="U40" s="83">
        <v>88085000</v>
      </c>
      <c r="V40" s="304">
        <v>86110000</v>
      </c>
      <c r="W40" s="83">
        <v>85469000</v>
      </c>
      <c r="X40" s="83">
        <v>78232000</v>
      </c>
      <c r="Y40" s="83">
        <v>79097000</v>
      </c>
      <c r="Z40" s="304">
        <v>71798000</v>
      </c>
      <c r="AA40" s="83">
        <v>73023000</v>
      </c>
      <c r="AB40" s="83">
        <v>71964000</v>
      </c>
      <c r="AC40" s="83">
        <v>69499000</v>
      </c>
      <c r="AD40" s="304">
        <v>65732000</v>
      </c>
      <c r="AE40" s="83">
        <f>+'1.Input BalSht'!Q38</f>
        <v>64742000</v>
      </c>
      <c r="AF40" s="83">
        <f>+'1.Input BalSht'!P38</f>
        <v>63363000</v>
      </c>
      <c r="AG40" s="83">
        <f>+'1.Input BalSht'!O38</f>
        <v>63882000</v>
      </c>
      <c r="AH40" s="304">
        <f>+'1.Input BalSht'!N38</f>
        <v>0</v>
      </c>
    </row>
    <row r="41" spans="1:34" ht="15" customHeight="1" x14ac:dyDescent="0.25">
      <c r="B41" s="319"/>
      <c r="F41" s="319"/>
      <c r="J41" s="319"/>
      <c r="N41" s="319"/>
      <c r="R41" s="319"/>
      <c r="V41" s="319"/>
      <c r="Z41" s="319"/>
      <c r="AD41" s="319"/>
      <c r="AH41" s="319"/>
    </row>
    <row r="42" spans="1:34" ht="15" customHeight="1" x14ac:dyDescent="0.25">
      <c r="A42" s="1" t="s">
        <v>538</v>
      </c>
      <c r="B42" s="319"/>
      <c r="F42" s="319"/>
      <c r="J42" s="319"/>
      <c r="N42" s="319"/>
      <c r="R42" s="319"/>
      <c r="V42" s="319"/>
      <c r="Z42" s="319"/>
      <c r="AD42" s="319"/>
      <c r="AH42" s="319"/>
    </row>
    <row r="43" spans="1:34" ht="15" customHeight="1" x14ac:dyDescent="0.25">
      <c r="A43" s="1" t="s">
        <v>539</v>
      </c>
      <c r="B43" s="304">
        <v>13288000</v>
      </c>
      <c r="C43" s="83">
        <v>13407000</v>
      </c>
      <c r="D43" s="83">
        <v>13478000</v>
      </c>
      <c r="E43" s="83">
        <v>13552000</v>
      </c>
      <c r="F43" s="304">
        <v>13609000</v>
      </c>
      <c r="G43" s="83">
        <v>13773000</v>
      </c>
      <c r="H43" s="83">
        <v>13836000</v>
      </c>
      <c r="I43" s="83">
        <v>14084000</v>
      </c>
      <c r="J43" s="304">
        <v>14187000</v>
      </c>
      <c r="K43" s="83">
        <v>14245000</v>
      </c>
      <c r="L43" s="83">
        <v>14310000</v>
      </c>
      <c r="M43" s="83">
        <v>14343000</v>
      </c>
      <c r="N43" s="304">
        <v>14394000</v>
      </c>
      <c r="O43" s="83">
        <v>14525000</v>
      </c>
      <c r="P43" s="83">
        <v>14570000</v>
      </c>
      <c r="Q43" s="83">
        <v>14647000</v>
      </c>
      <c r="R43" s="304">
        <v>14781000</v>
      </c>
      <c r="S43" s="83">
        <v>14866000</v>
      </c>
      <c r="T43" s="83">
        <v>14887000</v>
      </c>
      <c r="U43" s="83">
        <v>14925000</v>
      </c>
      <c r="V43" s="304">
        <v>14984000</v>
      </c>
      <c r="W43" s="83">
        <v>15103000</v>
      </c>
      <c r="X43" s="83">
        <v>15148000</v>
      </c>
      <c r="Y43" s="83">
        <v>15205000</v>
      </c>
      <c r="Z43" s="304">
        <v>15399000</v>
      </c>
      <c r="AA43" s="83">
        <v>15455000</v>
      </c>
      <c r="AB43" s="83">
        <v>15473000</v>
      </c>
      <c r="AC43" s="83">
        <v>15542000</v>
      </c>
      <c r="AD43" s="304">
        <v>15594000</v>
      </c>
      <c r="AE43" s="83">
        <f>+'1.Input BalSht'!Q42</f>
        <v>15726000</v>
      </c>
      <c r="AF43" s="83">
        <f>+'1.Input BalSht'!P42</f>
        <v>15782000</v>
      </c>
      <c r="AG43" s="83">
        <f>+'1.Input BalSht'!O42</f>
        <v>15853000</v>
      </c>
      <c r="AH43" s="304">
        <f>+'1.Input BalSht'!N42</f>
        <v>0</v>
      </c>
    </row>
    <row r="44" spans="1:34" ht="15" customHeight="1" x14ac:dyDescent="0.25">
      <c r="A44" s="1" t="s">
        <v>540</v>
      </c>
      <c r="B44" s="304">
        <v>1154429000</v>
      </c>
      <c r="C44" s="83">
        <v>1174496000</v>
      </c>
      <c r="D44" s="83">
        <v>1197083000</v>
      </c>
      <c r="E44" s="83">
        <v>1216565000</v>
      </c>
      <c r="F44" s="304">
        <v>1235679000</v>
      </c>
      <c r="G44" s="83">
        <v>1256442000</v>
      </c>
      <c r="H44" s="83">
        <v>1277614000</v>
      </c>
      <c r="I44" s="83">
        <v>1366221000</v>
      </c>
      <c r="J44" s="304">
        <v>1406813000</v>
      </c>
      <c r="K44" s="83">
        <v>1422879000</v>
      </c>
      <c r="L44" s="83">
        <v>1460120000</v>
      </c>
      <c r="M44" s="83">
        <v>1479018000</v>
      </c>
      <c r="N44" s="304">
        <v>1496565000</v>
      </c>
      <c r="O44" s="83">
        <v>1532481000</v>
      </c>
      <c r="P44" s="83">
        <v>1552303000</v>
      </c>
      <c r="Q44" s="83">
        <v>1574347000</v>
      </c>
      <c r="R44" s="304">
        <v>1630072000</v>
      </c>
      <c r="S44" s="83">
        <v>1653525000</v>
      </c>
      <c r="T44" s="83">
        <v>1669461000</v>
      </c>
      <c r="U44" s="83">
        <v>1689172000</v>
      </c>
      <c r="V44" s="304">
        <v>1721118000</v>
      </c>
      <c r="W44" s="83">
        <v>1753468000</v>
      </c>
      <c r="X44" s="83">
        <v>1780803000</v>
      </c>
      <c r="Y44" s="83">
        <v>1810383000</v>
      </c>
      <c r="Z44" s="304">
        <v>1855916000</v>
      </c>
      <c r="AA44" s="83">
        <v>1873935000</v>
      </c>
      <c r="AB44" s="83">
        <v>1889178000</v>
      </c>
      <c r="AC44" s="83">
        <v>1909370000</v>
      </c>
      <c r="AD44" s="304">
        <v>1933776000</v>
      </c>
      <c r="AE44" s="83">
        <f>+'1.Input BalSht'!Q43</f>
        <v>1966578000</v>
      </c>
      <c r="AF44" s="83">
        <f>+'1.Input BalSht'!P43</f>
        <v>1994541000</v>
      </c>
      <c r="AG44" s="83">
        <f>+'1.Input BalSht'!O43</f>
        <v>2022227000</v>
      </c>
      <c r="AH44" s="304">
        <f>+'1.Input BalSht'!N43</f>
        <v>0</v>
      </c>
    </row>
    <row r="45" spans="1:34" ht="15" customHeight="1" x14ac:dyDescent="0.25">
      <c r="A45" s="1" t="s">
        <v>541</v>
      </c>
      <c r="B45" s="304">
        <v>602609000</v>
      </c>
      <c r="C45" s="83">
        <v>603551000</v>
      </c>
      <c r="D45" s="83">
        <v>600215000</v>
      </c>
      <c r="E45" s="83">
        <v>623156000</v>
      </c>
      <c r="F45" s="304">
        <v>628331000</v>
      </c>
      <c r="G45" s="83">
        <v>638043000</v>
      </c>
      <c r="H45" s="83">
        <v>656103000</v>
      </c>
      <c r="I45" s="83">
        <v>1715066000</v>
      </c>
      <c r="J45" s="304">
        <v>1669605000</v>
      </c>
      <c r="K45" s="83">
        <v>1627465000</v>
      </c>
      <c r="L45" s="83">
        <v>1587263000</v>
      </c>
      <c r="M45" s="83">
        <v>1549223000</v>
      </c>
      <c r="N45" s="304">
        <v>1545094000</v>
      </c>
      <c r="O45" s="83">
        <v>1523366000</v>
      </c>
      <c r="P45" s="83">
        <v>1499398000</v>
      </c>
      <c r="Q45" s="83">
        <v>1487673000</v>
      </c>
      <c r="R45" s="304">
        <v>1454826000</v>
      </c>
      <c r="S45" s="83">
        <v>1472191000</v>
      </c>
      <c r="T45" s="83">
        <v>1465760000</v>
      </c>
      <c r="U45" s="83">
        <v>1450385000</v>
      </c>
      <c r="V45" s="304">
        <v>1420993000</v>
      </c>
      <c r="W45" s="83">
        <v>1393775000</v>
      </c>
      <c r="X45" s="83">
        <v>1363339000</v>
      </c>
      <c r="Y45" s="83">
        <v>1333655000</v>
      </c>
      <c r="Z45" s="304">
        <v>1302291000</v>
      </c>
      <c r="AA45" s="83">
        <v>1300705000</v>
      </c>
      <c r="AB45" s="83">
        <v>1305568000</v>
      </c>
      <c r="AC45" s="83">
        <v>1319545000</v>
      </c>
      <c r="AD45" s="304">
        <v>1314172000</v>
      </c>
      <c r="AE45" s="83">
        <f>+'1.Input BalSht'!Q44</f>
        <v>1306683000</v>
      </c>
      <c r="AF45" s="83">
        <f>+'1.Input BalSht'!P44</f>
        <v>1308415000</v>
      </c>
      <c r="AG45" s="83">
        <f>+'1.Input BalSht'!O44</f>
        <v>1319625000</v>
      </c>
      <c r="AH45" s="304">
        <f>+'1.Input BalSht'!N44</f>
        <v>0</v>
      </c>
    </row>
    <row r="46" spans="1:34" ht="15" customHeight="1" x14ac:dyDescent="0.25">
      <c r="A46" s="1" t="s">
        <v>542</v>
      </c>
      <c r="B46" s="304">
        <v>7999000</v>
      </c>
      <c r="C46" s="83">
        <v>8651000</v>
      </c>
      <c r="D46" s="83">
        <v>9410000</v>
      </c>
      <c r="E46" s="83">
        <v>9826000</v>
      </c>
      <c r="F46" s="304">
        <v>10767000</v>
      </c>
      <c r="G46" s="83">
        <v>8899000</v>
      </c>
      <c r="H46" s="83">
        <v>7926000</v>
      </c>
      <c r="I46" s="83">
        <v>7891000</v>
      </c>
      <c r="J46" s="304">
        <v>7801000</v>
      </c>
      <c r="K46" s="83">
        <v>7334000</v>
      </c>
      <c r="L46" s="83">
        <v>6619000</v>
      </c>
      <c r="M46" s="83">
        <v>6776000</v>
      </c>
      <c r="N46" s="304">
        <v>5745000</v>
      </c>
      <c r="O46" s="83">
        <v>6342000</v>
      </c>
      <c r="P46" s="83">
        <v>6944000</v>
      </c>
      <c r="Q46" s="83">
        <v>7814000</v>
      </c>
      <c r="R46" s="304">
        <v>7522000</v>
      </c>
      <c r="S46" s="83">
        <v>6970000</v>
      </c>
      <c r="T46" s="83">
        <v>5976000</v>
      </c>
      <c r="U46" s="83">
        <v>5890000</v>
      </c>
      <c r="V46" s="304">
        <v>5730000</v>
      </c>
      <c r="W46" s="83">
        <v>3801000</v>
      </c>
      <c r="X46" s="83">
        <v>1925000</v>
      </c>
      <c r="Y46" s="83">
        <v>4182000</v>
      </c>
      <c r="Z46" s="304">
        <v>4504000</v>
      </c>
      <c r="AA46" s="83">
        <v>4565000</v>
      </c>
      <c r="AB46" s="83">
        <v>3567000</v>
      </c>
      <c r="AC46" s="83">
        <v>4508000</v>
      </c>
      <c r="AD46" s="304">
        <v>3964000</v>
      </c>
      <c r="AE46" s="83">
        <f>+'1.Input BalSht'!Q45</f>
        <v>3892000</v>
      </c>
      <c r="AF46" s="83">
        <f>+'1.Input BalSht'!P45</f>
        <v>5083000</v>
      </c>
      <c r="AG46" s="83">
        <f>+'1.Input BalSht'!O45</f>
        <v>3493000</v>
      </c>
      <c r="AH46" s="304">
        <f>+'1.Input BalSht'!N45</f>
        <v>0</v>
      </c>
    </row>
    <row r="47" spans="1:34" ht="15" customHeight="1" x14ac:dyDescent="0.25">
      <c r="A47" s="293" t="s">
        <v>543</v>
      </c>
      <c r="B47" s="297">
        <v>-1039345000</v>
      </c>
      <c r="C47" s="255">
        <v>-1046648000</v>
      </c>
      <c r="D47" s="255">
        <v>-1067090000</v>
      </c>
      <c r="E47" s="255">
        <v>-1088988000</v>
      </c>
      <c r="F47" s="297">
        <v>-1139291000</v>
      </c>
      <c r="G47" s="255">
        <v>-1195101000</v>
      </c>
      <c r="H47" s="255">
        <v>-1199630000</v>
      </c>
      <c r="I47" s="255">
        <v>-1743646000</v>
      </c>
      <c r="J47" s="297">
        <v>-1767574000</v>
      </c>
      <c r="K47" s="255">
        <v>-1799766000</v>
      </c>
      <c r="L47" s="255">
        <v>-1881954000</v>
      </c>
      <c r="M47" s="255">
        <v>-1906819000</v>
      </c>
      <c r="N47" s="297">
        <v>-1974286000</v>
      </c>
      <c r="O47" s="255">
        <v>-2018425000</v>
      </c>
      <c r="P47" s="255">
        <v>-2022353000</v>
      </c>
      <c r="Q47" s="255">
        <v>-2025980000</v>
      </c>
      <c r="R47" s="297">
        <v>-2026518000</v>
      </c>
      <c r="S47" s="255">
        <v>-2066956000</v>
      </c>
      <c r="T47" s="255">
        <v>-2083137000</v>
      </c>
      <c r="U47" s="255">
        <v>-2089958000</v>
      </c>
      <c r="V47" s="297">
        <v>-2099765000</v>
      </c>
      <c r="W47" s="255">
        <v>-2160400000</v>
      </c>
      <c r="X47" s="255">
        <v>-2201146000</v>
      </c>
      <c r="Y47" s="255">
        <v>-2251816000</v>
      </c>
      <c r="Z47" s="297">
        <v>-2252034000</v>
      </c>
      <c r="AA47" s="255">
        <v>-2276129000</v>
      </c>
      <c r="AB47" s="255">
        <v>-2291928000</v>
      </c>
      <c r="AC47" s="255">
        <v>-2302475000</v>
      </c>
      <c r="AD47" s="297">
        <v>-2318371000</v>
      </c>
      <c r="AE47" s="255">
        <f>+'1.Input BalSht'!Q46</f>
        <v>-2341003000</v>
      </c>
      <c r="AF47" s="255">
        <f>+'1.Input BalSht'!P46</f>
        <v>-2391764000</v>
      </c>
      <c r="AG47" s="255">
        <f>+'1.Input BalSht'!O46</f>
        <v>-2403491000</v>
      </c>
      <c r="AH47" s="297">
        <f>+'1.Input BalSht'!N46</f>
        <v>0</v>
      </c>
    </row>
    <row r="48" spans="1:34" ht="15" customHeight="1" x14ac:dyDescent="0.3">
      <c r="A48" s="348" t="s">
        <v>133</v>
      </c>
      <c r="B48" s="333">
        <v>738980000</v>
      </c>
      <c r="C48" s="334">
        <v>753457000</v>
      </c>
      <c r="D48" s="334">
        <v>753096000</v>
      </c>
      <c r="E48" s="334">
        <v>774111000</v>
      </c>
      <c r="F48" s="333">
        <v>749095000</v>
      </c>
      <c r="G48" s="334">
        <v>722056000</v>
      </c>
      <c r="H48" s="334">
        <v>755849000</v>
      </c>
      <c r="I48" s="334">
        <v>1359616000</v>
      </c>
      <c r="J48" s="333">
        <v>1330832000</v>
      </c>
      <c r="K48" s="334">
        <f t="shared" ref="K48:AH48" si="4">SUM(K43:K47)</f>
        <v>1272157000</v>
      </c>
      <c r="L48" s="334">
        <f t="shared" si="4"/>
        <v>1186358000</v>
      </c>
      <c r="M48" s="334">
        <f t="shared" si="4"/>
        <v>1142541000</v>
      </c>
      <c r="N48" s="333">
        <f t="shared" si="4"/>
        <v>1087512000</v>
      </c>
      <c r="O48" s="334">
        <f t="shared" si="4"/>
        <v>1058289000</v>
      </c>
      <c r="P48" s="334">
        <f t="shared" si="4"/>
        <v>1050862000</v>
      </c>
      <c r="Q48" s="334">
        <f t="shared" si="4"/>
        <v>1058501000</v>
      </c>
      <c r="R48" s="333">
        <f t="shared" si="4"/>
        <v>1080683000</v>
      </c>
      <c r="S48" s="334">
        <f t="shared" si="4"/>
        <v>1080596000</v>
      </c>
      <c r="T48" s="334">
        <f t="shared" si="4"/>
        <v>1072947000</v>
      </c>
      <c r="U48" s="334">
        <f t="shared" si="4"/>
        <v>1070414000</v>
      </c>
      <c r="V48" s="333">
        <f t="shared" si="4"/>
        <v>1063060000</v>
      </c>
      <c r="W48" s="334">
        <f t="shared" si="4"/>
        <v>1005747000</v>
      </c>
      <c r="X48" s="334">
        <f t="shared" si="4"/>
        <v>960069000</v>
      </c>
      <c r="Y48" s="334">
        <f t="shared" si="4"/>
        <v>911609000</v>
      </c>
      <c r="Z48" s="333">
        <f t="shared" si="4"/>
        <v>926076000</v>
      </c>
      <c r="AA48" s="334">
        <f t="shared" si="4"/>
        <v>918531000</v>
      </c>
      <c r="AB48" s="334">
        <f t="shared" si="4"/>
        <v>921858000</v>
      </c>
      <c r="AC48" s="334">
        <f t="shared" si="4"/>
        <v>946490000</v>
      </c>
      <c r="AD48" s="333">
        <f t="shared" si="4"/>
        <v>949135000</v>
      </c>
      <c r="AE48" s="334">
        <f t="shared" si="4"/>
        <v>951876000</v>
      </c>
      <c r="AF48" s="334">
        <f t="shared" si="4"/>
        <v>932057000</v>
      </c>
      <c r="AG48" s="334">
        <f t="shared" si="4"/>
        <v>957707000</v>
      </c>
      <c r="AH48" s="333">
        <f t="shared" si="4"/>
        <v>0</v>
      </c>
    </row>
    <row r="49" spans="1:34" ht="15" customHeight="1" x14ac:dyDescent="0.3">
      <c r="A49" s="182" t="s">
        <v>544</v>
      </c>
      <c r="B49" s="327">
        <v>1234965000</v>
      </c>
      <c r="C49" s="328">
        <v>1214066000</v>
      </c>
      <c r="D49" s="328">
        <v>1216968000</v>
      </c>
      <c r="E49" s="328">
        <v>1226626000</v>
      </c>
      <c r="F49" s="327">
        <v>1209497000</v>
      </c>
      <c r="G49" s="328">
        <v>1167151000</v>
      </c>
      <c r="H49" s="328">
        <v>1189692000</v>
      </c>
      <c r="I49" s="328">
        <v>1927518000</v>
      </c>
      <c r="J49" s="327">
        <v>1472911000</v>
      </c>
      <c r="K49" s="328">
        <f t="shared" ref="K49:AH49" si="5">+K36+K38+K39+K40+K48</f>
        <v>1439304000</v>
      </c>
      <c r="L49" s="328">
        <f t="shared" si="5"/>
        <v>1363230000</v>
      </c>
      <c r="M49" s="328">
        <f t="shared" si="5"/>
        <v>1343852000</v>
      </c>
      <c r="N49" s="327">
        <f t="shared" si="5"/>
        <v>1301889000</v>
      </c>
      <c r="O49" s="328">
        <f t="shared" si="5"/>
        <v>1233931000</v>
      </c>
      <c r="P49" s="328">
        <f t="shared" si="5"/>
        <v>1238637000</v>
      </c>
      <c r="Q49" s="328">
        <f t="shared" si="5"/>
        <v>1259500000</v>
      </c>
      <c r="R49" s="327">
        <f t="shared" si="5"/>
        <v>1288321000</v>
      </c>
      <c r="S49" s="328">
        <f t="shared" si="5"/>
        <v>1249905000</v>
      </c>
      <c r="T49" s="328">
        <f t="shared" si="5"/>
        <v>1282372000</v>
      </c>
      <c r="U49" s="328">
        <f t="shared" si="5"/>
        <v>1342535000</v>
      </c>
      <c r="V49" s="327">
        <f t="shared" si="5"/>
        <v>1333736000</v>
      </c>
      <c r="W49" s="328">
        <f t="shared" si="5"/>
        <v>1234261000</v>
      </c>
      <c r="X49" s="328">
        <f t="shared" si="5"/>
        <v>1188499000</v>
      </c>
      <c r="Y49" s="328">
        <f t="shared" si="5"/>
        <v>1166483000</v>
      </c>
      <c r="Z49" s="327">
        <f t="shared" si="5"/>
        <v>1172703000</v>
      </c>
      <c r="AA49" s="328">
        <f t="shared" si="5"/>
        <v>1163931000</v>
      </c>
      <c r="AB49" s="328">
        <f t="shared" si="5"/>
        <v>1180519000</v>
      </c>
      <c r="AC49" s="328">
        <f t="shared" si="5"/>
        <v>1224741000</v>
      </c>
      <c r="AD49" s="327">
        <f t="shared" si="5"/>
        <v>1231443000</v>
      </c>
      <c r="AE49" s="328">
        <f t="shared" si="5"/>
        <v>1206256000</v>
      </c>
      <c r="AF49" s="328">
        <f t="shared" si="5"/>
        <v>1194888000</v>
      </c>
      <c r="AG49" s="328">
        <f t="shared" si="5"/>
        <v>1253213000</v>
      </c>
      <c r="AH49" s="327">
        <f t="shared" si="5"/>
        <v>0</v>
      </c>
    </row>
    <row r="50" spans="1:34" ht="15" customHeight="1" x14ac:dyDescent="0.25">
      <c r="B50" s="319"/>
      <c r="F50" s="319"/>
      <c r="J50" s="319"/>
      <c r="N50" s="319"/>
      <c r="R50" s="319"/>
      <c r="V50" s="319"/>
      <c r="Z50" s="319"/>
      <c r="AD50" s="319"/>
      <c r="AH50" s="319"/>
    </row>
    <row r="51" spans="1:34" ht="15" customHeight="1" x14ac:dyDescent="0.25"/>
  </sheetData>
  <pageMargins left="0.25" right="0.25" top="0.75" bottom="0.75" header="0.3" footer="0.3"/>
  <pageSetup scale="5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0"/>
  <sheetViews>
    <sheetView showRuler="0" workbookViewId="0"/>
  </sheetViews>
  <sheetFormatPr defaultColWidth="13.08984375" defaultRowHeight="12.5" x14ac:dyDescent="0.25"/>
  <sheetData>
    <row r="1" ht="15" customHeight="1" x14ac:dyDescent="0.25"/>
    <row r="2" ht="15" customHeight="1" x14ac:dyDescent="0.25"/>
    <row r="3" ht="15" customHeight="1" x14ac:dyDescent="0.25"/>
    <row r="4" ht="15" customHeight="1" x14ac:dyDescent="0.25"/>
    <row r="5" ht="15" customHeight="1" x14ac:dyDescent="0.25"/>
    <row r="6" ht="15" customHeight="1" x14ac:dyDescent="0.25"/>
    <row r="7" ht="15" customHeight="1" x14ac:dyDescent="0.25"/>
    <row r="8" ht="15" customHeight="1" x14ac:dyDescent="0.25"/>
    <row r="9" ht="15" customHeight="1" x14ac:dyDescent="0.25"/>
    <row r="10" ht="15" customHeight="1" x14ac:dyDescent="0.25"/>
    <row r="11" ht="15" customHeight="1" x14ac:dyDescent="0.25"/>
    <row r="12" ht="15" customHeight="1" x14ac:dyDescent="0.25"/>
    <row r="13" ht="15" customHeight="1" x14ac:dyDescent="0.25"/>
    <row r="14" ht="15" customHeight="1" x14ac:dyDescent="0.25"/>
    <row r="15" ht="15" customHeight="1" x14ac:dyDescent="0.25"/>
    <row r="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96"/>
  <sheetViews>
    <sheetView workbookViewId="0">
      <pane xSplit="2" ySplit="7" topLeftCell="C8" activePane="bottomRight" state="frozen"/>
      <selection pane="topRight"/>
      <selection pane="bottomLeft"/>
      <selection pane="bottomRight"/>
    </sheetView>
  </sheetViews>
  <sheetFormatPr defaultColWidth="13.08984375" defaultRowHeight="12.5" x14ac:dyDescent="0.25"/>
  <cols>
    <col min="1" max="1" width="49.453125" customWidth="1"/>
    <col min="2" max="2" width="0.90625" customWidth="1"/>
    <col min="3" max="3" width="15" customWidth="1"/>
    <col min="4" max="4" width="0.90625" customWidth="1"/>
    <col min="5" max="5" width="15" customWidth="1"/>
    <col min="6" max="6" width="1.54296875" customWidth="1"/>
    <col min="7" max="7" width="11.81640625" customWidth="1"/>
    <col min="8" max="8" width="12.90625" customWidth="1"/>
    <col min="9" max="9" width="2.54296875" customWidth="1"/>
    <col min="10" max="10" width="11.36328125" customWidth="1"/>
    <col min="11" max="11" width="0.90625" customWidth="1"/>
    <col min="12" max="12" width="8.81640625" customWidth="1"/>
    <col min="13" max="13" width="2.54296875" customWidth="1"/>
    <col min="14" max="31" width="14.1796875" customWidth="1"/>
    <col min="32" max="32" width="6" customWidth="1"/>
    <col min="33" max="33" width="10.36328125" customWidth="1"/>
  </cols>
  <sheetData>
    <row r="1" spans="1:33" ht="32.5" customHeight="1" x14ac:dyDescent="0.25">
      <c r="Y1" s="362"/>
      <c r="Z1" s="362"/>
      <c r="AA1" s="362"/>
    </row>
    <row r="2" spans="1:33" ht="16.649999999999999" customHeight="1" x14ac:dyDescent="0.25">
      <c r="A2" s="376" t="s">
        <v>72</v>
      </c>
      <c r="B2" s="362"/>
      <c r="C2" s="362"/>
      <c r="D2" s="362"/>
      <c r="E2" s="362"/>
      <c r="F2" s="362"/>
      <c r="G2" s="362"/>
      <c r="H2" s="362"/>
      <c r="AF2" s="52">
        <v>25</v>
      </c>
      <c r="AG2" s="53" t="s">
        <v>73</v>
      </c>
    </row>
    <row r="3" spans="1:33" ht="16.649999999999999" customHeight="1" x14ac:dyDescent="0.25">
      <c r="A3" s="376" t="s">
        <v>74</v>
      </c>
      <c r="B3" s="362"/>
      <c r="C3" s="362"/>
      <c r="D3" s="362"/>
      <c r="E3" s="362"/>
      <c r="F3" s="362"/>
      <c r="G3" s="362"/>
      <c r="H3" s="362"/>
      <c r="AF3" s="52">
        <v>20</v>
      </c>
      <c r="AG3" s="53" t="s">
        <v>75</v>
      </c>
    </row>
    <row r="4" spans="1:33" ht="16.649999999999999" customHeight="1" x14ac:dyDescent="0.25">
      <c r="A4" s="376" t="s">
        <v>76</v>
      </c>
      <c r="B4" s="362"/>
      <c r="C4" s="362"/>
      <c r="D4" s="362"/>
      <c r="E4" s="362"/>
      <c r="F4" s="362"/>
      <c r="G4" s="362"/>
      <c r="H4" s="362"/>
      <c r="N4" s="377" t="s">
        <v>77</v>
      </c>
      <c r="O4" s="362"/>
      <c r="P4" s="362"/>
      <c r="Q4" s="362"/>
      <c r="R4" s="362"/>
      <c r="AF4" s="52">
        <v>35</v>
      </c>
      <c r="AG4" s="53" t="s">
        <v>78</v>
      </c>
    </row>
    <row r="5" spans="1:33" ht="5.75" customHeight="1" x14ac:dyDescent="0.25"/>
    <row r="6" spans="1:33" ht="16.649999999999999" customHeight="1" x14ac:dyDescent="0.3">
      <c r="G6" s="51" t="s">
        <v>79</v>
      </c>
      <c r="H6" s="51" t="s">
        <v>80</v>
      </c>
      <c r="J6" s="55" t="s">
        <v>81</v>
      </c>
      <c r="L6" s="56" t="s">
        <v>82</v>
      </c>
      <c r="N6" s="57" t="s">
        <v>83</v>
      </c>
      <c r="O6" s="58" t="s">
        <v>83</v>
      </c>
      <c r="P6" s="57" t="s">
        <v>83</v>
      </c>
      <c r="Q6" s="57" t="s">
        <v>84</v>
      </c>
      <c r="R6" s="57" t="s">
        <v>84</v>
      </c>
      <c r="S6" s="57" t="s">
        <v>84</v>
      </c>
      <c r="T6" s="57" t="s">
        <v>84</v>
      </c>
      <c r="U6" s="57" t="s">
        <v>84</v>
      </c>
      <c r="V6" s="57" t="s">
        <v>84</v>
      </c>
      <c r="W6" s="57" t="s">
        <v>84</v>
      </c>
      <c r="X6" s="57" t="s">
        <v>84</v>
      </c>
      <c r="Y6" s="57" t="s">
        <v>84</v>
      </c>
      <c r="Z6" s="57" t="s">
        <v>84</v>
      </c>
      <c r="AA6" s="57" t="s">
        <v>84</v>
      </c>
      <c r="AB6" s="57" t="s">
        <v>84</v>
      </c>
      <c r="AC6" s="57" t="s">
        <v>84</v>
      </c>
      <c r="AD6" s="57" t="s">
        <v>84</v>
      </c>
      <c r="AE6" s="57" t="s">
        <v>84</v>
      </c>
    </row>
    <row r="7" spans="1:33" ht="27.5" customHeight="1" x14ac:dyDescent="0.25">
      <c r="C7" s="59">
        <f>+Dates!B29</f>
        <v>45657</v>
      </c>
      <c r="E7" s="59">
        <v>45382</v>
      </c>
      <c r="G7" s="60" t="s">
        <v>85</v>
      </c>
      <c r="H7" s="60" t="s">
        <v>85</v>
      </c>
      <c r="J7" s="61" t="s">
        <v>86</v>
      </c>
      <c r="L7" s="62">
        <v>1</v>
      </c>
      <c r="N7" s="63">
        <v>45747</v>
      </c>
      <c r="O7" s="64">
        <v>45657</v>
      </c>
      <c r="P7" s="63">
        <v>45565</v>
      </c>
      <c r="Q7" s="63">
        <v>45473</v>
      </c>
      <c r="R7" s="63">
        <v>45382</v>
      </c>
      <c r="S7" s="63">
        <v>45291</v>
      </c>
      <c r="T7" s="63">
        <v>45199</v>
      </c>
      <c r="U7" s="63">
        <v>45107</v>
      </c>
      <c r="V7" s="63">
        <v>45016</v>
      </c>
      <c r="W7" s="63">
        <v>44926</v>
      </c>
      <c r="X7" s="63">
        <v>44834</v>
      </c>
      <c r="Y7" s="63">
        <v>44561</v>
      </c>
      <c r="Z7" s="63">
        <v>44469</v>
      </c>
      <c r="AA7" s="63">
        <v>44377</v>
      </c>
      <c r="AB7" s="63">
        <v>44286</v>
      </c>
      <c r="AC7" s="65" t="s">
        <v>87</v>
      </c>
      <c r="AD7" s="65" t="s">
        <v>88</v>
      </c>
      <c r="AE7" s="65" t="s">
        <v>89</v>
      </c>
    </row>
    <row r="8" spans="1:33" ht="16.649999999999999" customHeight="1" x14ac:dyDescent="0.25">
      <c r="A8" s="51" t="s">
        <v>90</v>
      </c>
      <c r="C8" s="100"/>
      <c r="E8" s="50"/>
      <c r="G8" s="50"/>
      <c r="H8" s="50"/>
      <c r="J8" s="50"/>
      <c r="L8" s="62">
        <f t="shared" ref="L8:L48" si="0">+L7+1</f>
        <v>2</v>
      </c>
      <c r="N8" s="100"/>
      <c r="O8" s="100"/>
      <c r="P8" s="100"/>
      <c r="Q8" s="100"/>
      <c r="R8" s="100"/>
      <c r="S8" s="100"/>
      <c r="T8" s="101"/>
      <c r="U8" s="101"/>
      <c r="V8" s="101"/>
      <c r="W8" s="101"/>
      <c r="X8" s="101"/>
      <c r="Y8" s="101"/>
      <c r="Z8" s="101"/>
      <c r="AA8" s="101"/>
      <c r="AB8" s="101"/>
      <c r="AC8" s="101"/>
      <c r="AD8" s="101"/>
      <c r="AE8" s="101"/>
    </row>
    <row r="9" spans="1:33" ht="16.649999999999999" customHeight="1" x14ac:dyDescent="0.25">
      <c r="A9" s="66" t="s">
        <v>91</v>
      </c>
      <c r="L9" s="62">
        <f t="shared" si="0"/>
        <v>3</v>
      </c>
    </row>
    <row r="10" spans="1:33" ht="16.649999999999999" customHeight="1" x14ac:dyDescent="0.25">
      <c r="A10" s="67" t="s">
        <v>92</v>
      </c>
      <c r="C10" s="68">
        <f t="shared" ref="C10:C15" si="1">HLOOKUP(C$7,$N$7:$AE$48,$L10,FALSE)</f>
        <v>376772000</v>
      </c>
      <c r="E10" s="68">
        <f t="shared" ref="E10:E15" si="2">HLOOKUP(E$7,$N$7:$AE$48,$L10,FALSE)</f>
        <v>336867000</v>
      </c>
      <c r="G10" s="69">
        <f t="shared" ref="G10:G16" si="3">+C10-E10</f>
        <v>39905000</v>
      </c>
      <c r="H10" s="70">
        <f t="shared" ref="H10:H16" si="4">IFERROR(+G10/E10,0)</f>
        <v>0.11845921387372464</v>
      </c>
      <c r="J10" s="54" t="str">
        <f t="shared" ref="J10:J16" si="5">IF(G10&gt;0,"increase","decrease")</f>
        <v>increase</v>
      </c>
      <c r="L10" s="62">
        <f t="shared" si="0"/>
        <v>4</v>
      </c>
      <c r="O10" s="68">
        <v>376772000</v>
      </c>
      <c r="P10" s="68">
        <v>338946000</v>
      </c>
      <c r="Q10" s="68">
        <v>310396000</v>
      </c>
      <c r="R10" s="68">
        <v>336867000</v>
      </c>
      <c r="S10" s="68">
        <v>498946000</v>
      </c>
      <c r="T10" s="68">
        <v>492169000</v>
      </c>
      <c r="U10" s="68">
        <v>470773000</v>
      </c>
      <c r="V10" s="68">
        <v>464448000</v>
      </c>
      <c r="W10" s="68">
        <v>453516000</v>
      </c>
      <c r="X10" s="68">
        <v>485602000</v>
      </c>
      <c r="Y10" s="68">
        <v>552959000</v>
      </c>
      <c r="Z10" s="68">
        <v>535590000</v>
      </c>
      <c r="AA10" s="68">
        <v>541024000</v>
      </c>
      <c r="AB10" s="68">
        <v>572787000</v>
      </c>
      <c r="AC10" s="71">
        <v>663401000</v>
      </c>
      <c r="AD10" s="71">
        <v>650691000</v>
      </c>
      <c r="AE10" s="71">
        <v>649895000</v>
      </c>
    </row>
    <row r="11" spans="1:33" ht="16.649999999999999" customHeight="1" x14ac:dyDescent="0.25">
      <c r="A11" s="67" t="s">
        <v>93</v>
      </c>
      <c r="C11" s="68">
        <f t="shared" si="1"/>
        <v>593000</v>
      </c>
      <c r="E11" s="68">
        <f t="shared" si="2"/>
        <v>2604000</v>
      </c>
      <c r="G11" s="69">
        <f t="shared" si="3"/>
        <v>-2011000</v>
      </c>
      <c r="H11" s="70">
        <f t="shared" si="4"/>
        <v>-0.77227342549923195</v>
      </c>
      <c r="J11" s="54" t="str">
        <f t="shared" si="5"/>
        <v>decrease</v>
      </c>
      <c r="L11" s="62">
        <f t="shared" si="0"/>
        <v>5</v>
      </c>
      <c r="O11" s="69">
        <v>593000</v>
      </c>
      <c r="P11" s="69">
        <v>2631000</v>
      </c>
      <c r="Q11" s="69">
        <v>2618000</v>
      </c>
      <c r="R11" s="69">
        <v>2604000</v>
      </c>
      <c r="S11" s="69">
        <v>0</v>
      </c>
      <c r="T11" s="69">
        <v>0</v>
      </c>
      <c r="U11" s="69">
        <v>0</v>
      </c>
      <c r="V11" s="69">
        <v>0</v>
      </c>
      <c r="W11" s="69">
        <v>0</v>
      </c>
      <c r="X11" s="69">
        <v>0</v>
      </c>
      <c r="Y11" s="69">
        <v>8731000</v>
      </c>
      <c r="Z11" s="69">
        <v>8731000</v>
      </c>
      <c r="AA11" s="69">
        <v>8731000</v>
      </c>
      <c r="AB11" s="69">
        <v>8900000</v>
      </c>
      <c r="AC11" s="72">
        <v>0</v>
      </c>
      <c r="AD11" s="72">
        <v>14815000</v>
      </c>
      <c r="AE11" s="72">
        <v>14815000</v>
      </c>
    </row>
    <row r="12" spans="1:33" ht="16.649999999999999" customHeight="1" x14ac:dyDescent="0.25">
      <c r="A12" s="67" t="s">
        <v>94</v>
      </c>
      <c r="C12" s="68">
        <f t="shared" si="1"/>
        <v>7500000</v>
      </c>
      <c r="E12" s="68">
        <f t="shared" si="2"/>
        <v>32045000</v>
      </c>
      <c r="G12" s="69">
        <f t="shared" si="3"/>
        <v>-24545000</v>
      </c>
      <c r="H12" s="70">
        <f t="shared" si="4"/>
        <v>-0.76595412700889376</v>
      </c>
      <c r="J12" s="54" t="str">
        <f t="shared" si="5"/>
        <v>decrease</v>
      </c>
      <c r="L12" s="62">
        <f t="shared" si="0"/>
        <v>6</v>
      </c>
      <c r="O12" s="69">
        <v>7500000</v>
      </c>
      <c r="P12" s="69">
        <v>9494000</v>
      </c>
      <c r="Q12" s="69">
        <v>32333000</v>
      </c>
      <c r="R12" s="69">
        <v>32045000</v>
      </c>
      <c r="S12" s="69">
        <v>32264000</v>
      </c>
      <c r="T12" s="69">
        <v>31920000</v>
      </c>
      <c r="U12" s="69">
        <v>33099000</v>
      </c>
      <c r="V12" s="69">
        <v>32807000</v>
      </c>
      <c r="W12" s="69">
        <v>7500000</v>
      </c>
      <c r="X12" s="69">
        <v>7500000</v>
      </c>
    </row>
    <row r="13" spans="1:33" ht="16.649999999999999" customHeight="1" x14ac:dyDescent="0.25">
      <c r="A13" s="67" t="s">
        <v>95</v>
      </c>
      <c r="C13" s="68">
        <f t="shared" si="1"/>
        <v>210565000</v>
      </c>
      <c r="E13" s="68">
        <f t="shared" si="2"/>
        <v>190313000</v>
      </c>
      <c r="G13" s="69">
        <f t="shared" si="3"/>
        <v>20252000</v>
      </c>
      <c r="H13" s="70">
        <f t="shared" si="4"/>
        <v>0.10641417034043917</v>
      </c>
      <c r="J13" s="54" t="str">
        <f t="shared" si="5"/>
        <v>increase</v>
      </c>
      <c r="L13" s="62">
        <f t="shared" si="0"/>
        <v>7</v>
      </c>
      <c r="O13" s="69">
        <v>210565000</v>
      </c>
      <c r="P13" s="69">
        <v>192067000</v>
      </c>
      <c r="Q13" s="69">
        <v>206305000</v>
      </c>
      <c r="R13" s="69">
        <v>190313000</v>
      </c>
      <c r="S13" s="69">
        <v>199383000</v>
      </c>
      <c r="T13" s="69">
        <v>174703000</v>
      </c>
      <c r="U13" s="69">
        <v>173083000</v>
      </c>
      <c r="V13" s="69">
        <v>157379000</v>
      </c>
      <c r="W13" s="69">
        <v>173409000</v>
      </c>
      <c r="X13" s="69">
        <v>157711000</v>
      </c>
      <c r="Y13" s="69">
        <v>156827000</v>
      </c>
      <c r="Z13" s="69">
        <v>130948000</v>
      </c>
      <c r="AA13" s="69">
        <v>120434000</v>
      </c>
      <c r="AB13" s="69">
        <v>114284000</v>
      </c>
      <c r="AC13" s="72">
        <v>115858000</v>
      </c>
      <c r="AD13" s="72">
        <v>99362000</v>
      </c>
      <c r="AE13" s="72">
        <v>96472000</v>
      </c>
    </row>
    <row r="14" spans="1:33" ht="16.649999999999999" customHeight="1" x14ac:dyDescent="0.25">
      <c r="A14" s="67" t="s">
        <v>96</v>
      </c>
      <c r="C14" s="68">
        <f t="shared" si="1"/>
        <v>6630000</v>
      </c>
      <c r="E14" s="68">
        <f t="shared" si="2"/>
        <v>8521000</v>
      </c>
      <c r="G14" s="69">
        <f t="shared" si="3"/>
        <v>-1891000</v>
      </c>
      <c r="H14" s="70">
        <f t="shared" si="4"/>
        <v>-0.22192230958807652</v>
      </c>
      <c r="J14" s="54" t="str">
        <f t="shared" si="5"/>
        <v>decrease</v>
      </c>
      <c r="L14" s="62">
        <f t="shared" si="0"/>
        <v>8</v>
      </c>
      <c r="O14" s="69">
        <v>6630000</v>
      </c>
      <c r="P14" s="69">
        <v>4195000</v>
      </c>
      <c r="Q14" s="69">
        <v>1929000</v>
      </c>
      <c r="R14" s="69">
        <v>8521000</v>
      </c>
      <c r="S14" s="69">
        <v>1143000</v>
      </c>
      <c r="T14" s="69">
        <v>0</v>
      </c>
      <c r="U14" s="69">
        <v>0</v>
      </c>
      <c r="V14" s="69">
        <v>28897000</v>
      </c>
      <c r="W14" s="69">
        <v>27097000</v>
      </c>
      <c r="X14" s="69">
        <v>29971000</v>
      </c>
      <c r="Y14" s="69">
        <v>62679000</v>
      </c>
      <c r="Z14" s="69">
        <v>64079000</v>
      </c>
      <c r="AA14" s="69">
        <v>64221000</v>
      </c>
      <c r="AB14" s="69">
        <v>65692000</v>
      </c>
      <c r="AC14" s="72">
        <v>47709000</v>
      </c>
      <c r="AD14" s="72">
        <v>42578000</v>
      </c>
      <c r="AE14" s="72">
        <v>39776000</v>
      </c>
    </row>
    <row r="15" spans="1:33" ht="16.649999999999999" customHeight="1" x14ac:dyDescent="0.25">
      <c r="A15" s="67" t="s">
        <v>97</v>
      </c>
      <c r="C15" s="73">
        <f t="shared" si="1"/>
        <v>41747000</v>
      </c>
      <c r="E15" s="73">
        <f t="shared" si="2"/>
        <v>31682000</v>
      </c>
      <c r="G15" s="69">
        <f t="shared" si="3"/>
        <v>10065000</v>
      </c>
      <c r="H15" s="70">
        <f t="shared" si="4"/>
        <v>0.31768827725522381</v>
      </c>
      <c r="J15" s="54" t="str">
        <f t="shared" si="5"/>
        <v>increase</v>
      </c>
      <c r="L15" s="62">
        <f t="shared" si="0"/>
        <v>9</v>
      </c>
      <c r="O15" s="74">
        <v>41747000</v>
      </c>
      <c r="P15" s="74">
        <v>34787000</v>
      </c>
      <c r="Q15" s="74">
        <v>31456000</v>
      </c>
      <c r="R15" s="74">
        <v>31682000</v>
      </c>
      <c r="S15" s="74">
        <v>37926000</v>
      </c>
      <c r="T15" s="74">
        <v>29054000</v>
      </c>
      <c r="U15" s="74">
        <v>29091000</v>
      </c>
      <c r="V15" s="74">
        <v>31028000</v>
      </c>
      <c r="W15" s="74">
        <f>42172000-7500000</f>
        <v>34672000</v>
      </c>
      <c r="X15" s="74">
        <f>31512000-7500000</f>
        <v>24012000</v>
      </c>
      <c r="Y15" s="74">
        <v>40584000</v>
      </c>
      <c r="Z15" s="74">
        <v>35246000</v>
      </c>
      <c r="AA15" s="74">
        <v>37049000</v>
      </c>
      <c r="AB15" s="74">
        <v>64052000</v>
      </c>
      <c r="AC15" s="75">
        <v>31685000</v>
      </c>
      <c r="AD15" s="75">
        <v>24560000</v>
      </c>
      <c r="AE15" s="75">
        <v>24314000</v>
      </c>
    </row>
    <row r="16" spans="1:33" ht="16.649999999999999" customHeight="1" x14ac:dyDescent="0.25">
      <c r="A16" s="76" t="s">
        <v>98</v>
      </c>
      <c r="C16" s="77">
        <f>SUM(C10:C15)</f>
        <v>643807000</v>
      </c>
      <c r="E16" s="77">
        <f>SUM(E10:E15)</f>
        <v>602032000</v>
      </c>
      <c r="G16" s="69">
        <f t="shared" si="3"/>
        <v>41775000</v>
      </c>
      <c r="H16" s="70">
        <f t="shared" si="4"/>
        <v>6.9389999202700184E-2</v>
      </c>
      <c r="J16" s="54" t="str">
        <f t="shared" si="5"/>
        <v>increase</v>
      </c>
      <c r="L16" s="62">
        <f t="shared" si="0"/>
        <v>10</v>
      </c>
      <c r="N16" s="77">
        <f t="shared" ref="N16:AE16" si="6">SUM(N10:N15)</f>
        <v>0</v>
      </c>
      <c r="O16" s="77">
        <f t="shared" si="6"/>
        <v>643807000</v>
      </c>
      <c r="P16" s="77">
        <f t="shared" si="6"/>
        <v>582120000</v>
      </c>
      <c r="Q16" s="77">
        <f t="shared" si="6"/>
        <v>585037000</v>
      </c>
      <c r="R16" s="77">
        <f t="shared" si="6"/>
        <v>602032000</v>
      </c>
      <c r="S16" s="77">
        <f t="shared" si="6"/>
        <v>769662000</v>
      </c>
      <c r="T16" s="77">
        <f t="shared" si="6"/>
        <v>727846000</v>
      </c>
      <c r="U16" s="77">
        <f t="shared" si="6"/>
        <v>706046000</v>
      </c>
      <c r="V16" s="77">
        <f t="shared" si="6"/>
        <v>714559000</v>
      </c>
      <c r="W16" s="77">
        <f t="shared" si="6"/>
        <v>696194000</v>
      </c>
      <c r="X16" s="77">
        <f t="shared" si="6"/>
        <v>704796000</v>
      </c>
      <c r="Y16" s="77">
        <f t="shared" si="6"/>
        <v>821780000</v>
      </c>
      <c r="Z16" s="77">
        <f t="shared" si="6"/>
        <v>774594000</v>
      </c>
      <c r="AA16" s="77">
        <f t="shared" si="6"/>
        <v>771459000</v>
      </c>
      <c r="AB16" s="77">
        <f t="shared" si="6"/>
        <v>825715000</v>
      </c>
      <c r="AC16" s="78">
        <f t="shared" si="6"/>
        <v>858653000</v>
      </c>
      <c r="AD16" s="78">
        <f t="shared" si="6"/>
        <v>832006000</v>
      </c>
      <c r="AE16" s="78">
        <f t="shared" si="6"/>
        <v>825272000</v>
      </c>
    </row>
    <row r="17" spans="1:31" ht="16.649999999999999" customHeight="1" x14ac:dyDescent="0.25">
      <c r="C17" s="50"/>
      <c r="E17" s="50"/>
      <c r="L17" s="62">
        <f t="shared" si="0"/>
        <v>11</v>
      </c>
      <c r="N17" s="50"/>
      <c r="O17" s="50"/>
      <c r="P17" s="50"/>
      <c r="Q17" s="50"/>
      <c r="R17" s="50"/>
      <c r="S17" s="50"/>
      <c r="T17" s="50"/>
      <c r="U17" s="50"/>
      <c r="V17" s="50"/>
      <c r="W17" s="50"/>
      <c r="X17" s="50"/>
      <c r="Y17" s="50"/>
      <c r="Z17" s="50"/>
      <c r="AA17" s="50"/>
      <c r="AB17" s="50"/>
      <c r="AC17" s="102"/>
      <c r="AD17" s="102"/>
      <c r="AE17" s="102"/>
    </row>
    <row r="18" spans="1:31" ht="16.649999999999999" customHeight="1" x14ac:dyDescent="0.25">
      <c r="A18" s="66" t="s">
        <v>99</v>
      </c>
      <c r="C18" s="68">
        <f>HLOOKUP(C$7,$N$7:$AE$48,$L18,FALSE)</f>
        <v>24099000</v>
      </c>
      <c r="E18" s="68">
        <f>HLOOKUP(E$7,$N$7:$AE$48,$L18,FALSE)</f>
        <v>25394000</v>
      </c>
      <c r="G18" s="69">
        <f>+C18-E18</f>
        <v>-1295000</v>
      </c>
      <c r="H18" s="70">
        <f>IFERROR(+G18/E18,0)</f>
        <v>-5.0996298338190124E-2</v>
      </c>
      <c r="J18" s="54" t="str">
        <f>IF(G18&gt;0,"increase","decrease")</f>
        <v>decrease</v>
      </c>
      <c r="L18" s="62">
        <f t="shared" si="0"/>
        <v>12</v>
      </c>
      <c r="O18" s="69">
        <v>24099000</v>
      </c>
      <c r="P18" s="69">
        <v>25678000</v>
      </c>
      <c r="Q18" s="69">
        <v>25413000</v>
      </c>
      <c r="R18" s="69">
        <v>25394000</v>
      </c>
      <c r="S18" s="69">
        <v>35125000</v>
      </c>
      <c r="T18" s="69">
        <v>38221000</v>
      </c>
      <c r="U18" s="69">
        <v>37927000</v>
      </c>
      <c r="V18" s="69">
        <v>39393000</v>
      </c>
      <c r="W18" s="69">
        <v>42954000</v>
      </c>
      <c r="X18" s="69">
        <v>45614000</v>
      </c>
      <c r="Y18" s="69">
        <v>46666000</v>
      </c>
      <c r="Z18" s="69">
        <v>45214000</v>
      </c>
      <c r="AA18" s="69">
        <v>44659000</v>
      </c>
      <c r="AB18" s="69">
        <v>44284000</v>
      </c>
      <c r="AC18" s="72">
        <v>44076000</v>
      </c>
      <c r="AD18" s="72">
        <v>43604000</v>
      </c>
      <c r="AE18" s="72">
        <v>45077000</v>
      </c>
    </row>
    <row r="19" spans="1:31" ht="16.649999999999999" customHeight="1" x14ac:dyDescent="0.25">
      <c r="A19" s="67" t="s">
        <v>100</v>
      </c>
      <c r="C19" s="73">
        <f>HLOOKUP(C$7,$N$7:$AE$48,$L19,FALSE)</f>
        <v>17440000</v>
      </c>
      <c r="E19" s="73">
        <f>HLOOKUP(E$7,$N$7:$AE$48,$L19,FALSE)</f>
        <v>17213000</v>
      </c>
      <c r="G19" s="69">
        <f>+C19-E19</f>
        <v>227000</v>
      </c>
      <c r="H19" s="70">
        <f>IFERROR(+G19/E19,0)</f>
        <v>1.3187706965665486E-2</v>
      </c>
      <c r="J19" s="54" t="str">
        <f>IF(G19&gt;0,"increase","decrease")</f>
        <v>increase</v>
      </c>
      <c r="L19" s="62">
        <f t="shared" si="0"/>
        <v>13</v>
      </c>
      <c r="O19" s="74">
        <v>17440000</v>
      </c>
      <c r="P19" s="74">
        <v>18304000</v>
      </c>
      <c r="Q19" s="74">
        <v>17717000</v>
      </c>
      <c r="R19" s="74">
        <v>17213000</v>
      </c>
      <c r="S19" s="74">
        <v>26923000</v>
      </c>
      <c r="T19" s="74">
        <v>32647000</v>
      </c>
      <c r="U19" s="74">
        <v>31872000</v>
      </c>
      <c r="V19" s="74">
        <v>32308000</v>
      </c>
      <c r="W19" s="74">
        <v>34145000</v>
      </c>
      <c r="X19" s="74">
        <v>34573000</v>
      </c>
      <c r="Y19" s="74">
        <v>36080000</v>
      </c>
      <c r="Z19" s="74">
        <v>34916000</v>
      </c>
      <c r="AA19" s="74">
        <v>34036000</v>
      </c>
      <c r="AB19" s="74">
        <v>32327000</v>
      </c>
      <c r="AC19" s="75">
        <v>30555000</v>
      </c>
      <c r="AD19" s="75">
        <v>28382000</v>
      </c>
      <c r="AE19" s="75">
        <v>27969000</v>
      </c>
    </row>
    <row r="20" spans="1:31" ht="16.649999999999999" customHeight="1" x14ac:dyDescent="0.25">
      <c r="A20" s="66" t="s">
        <v>101</v>
      </c>
      <c r="C20" s="77">
        <f>+C18-C19</f>
        <v>6659000</v>
      </c>
      <c r="E20" s="77">
        <f>+E18-E19</f>
        <v>8181000</v>
      </c>
      <c r="G20" s="69">
        <f>+C20-E20</f>
        <v>-1522000</v>
      </c>
      <c r="H20" s="70">
        <f>IFERROR(+G20/E20,0)</f>
        <v>-0.18604082630485272</v>
      </c>
      <c r="J20" s="54" t="str">
        <f>IF(G20&gt;0,"increase","decrease")</f>
        <v>decrease</v>
      </c>
      <c r="L20" s="62">
        <f t="shared" si="0"/>
        <v>14</v>
      </c>
      <c r="N20" s="77">
        <f t="shared" ref="N20:AE20" si="7">+N18-N19</f>
        <v>0</v>
      </c>
      <c r="O20" s="77">
        <f t="shared" si="7"/>
        <v>6659000</v>
      </c>
      <c r="P20" s="77">
        <f t="shared" si="7"/>
        <v>7374000</v>
      </c>
      <c r="Q20" s="77">
        <f t="shared" si="7"/>
        <v>7696000</v>
      </c>
      <c r="R20" s="77">
        <f t="shared" si="7"/>
        <v>8181000</v>
      </c>
      <c r="S20" s="77">
        <f t="shared" si="7"/>
        <v>8202000</v>
      </c>
      <c r="T20" s="77">
        <f t="shared" si="7"/>
        <v>5574000</v>
      </c>
      <c r="U20" s="77">
        <f t="shared" si="7"/>
        <v>6055000</v>
      </c>
      <c r="V20" s="77">
        <f t="shared" si="7"/>
        <v>7085000</v>
      </c>
      <c r="W20" s="77">
        <f t="shared" si="7"/>
        <v>8809000</v>
      </c>
      <c r="X20" s="77">
        <f t="shared" si="7"/>
        <v>11041000</v>
      </c>
      <c r="Y20" s="77">
        <f t="shared" si="7"/>
        <v>10586000</v>
      </c>
      <c r="Z20" s="77">
        <f t="shared" si="7"/>
        <v>10298000</v>
      </c>
      <c r="AA20" s="77">
        <f t="shared" si="7"/>
        <v>10623000</v>
      </c>
      <c r="AB20" s="77">
        <f t="shared" si="7"/>
        <v>11957000</v>
      </c>
      <c r="AC20" s="78">
        <f t="shared" si="7"/>
        <v>13521000</v>
      </c>
      <c r="AD20" s="78">
        <f t="shared" si="7"/>
        <v>15222000</v>
      </c>
      <c r="AE20" s="78">
        <f t="shared" si="7"/>
        <v>17108000</v>
      </c>
    </row>
    <row r="21" spans="1:31" ht="16.649999999999999" customHeight="1" x14ac:dyDescent="0.25">
      <c r="C21" s="50"/>
      <c r="E21" s="50"/>
      <c r="L21" s="62">
        <f t="shared" si="0"/>
        <v>15</v>
      </c>
      <c r="N21" s="50"/>
      <c r="O21" s="50"/>
      <c r="P21" s="50"/>
      <c r="Q21" s="50"/>
      <c r="R21" s="50"/>
      <c r="S21" s="50"/>
      <c r="T21" s="50"/>
      <c r="U21" s="50"/>
      <c r="V21" s="50"/>
      <c r="W21" s="50"/>
      <c r="X21" s="50"/>
      <c r="Y21" s="50"/>
      <c r="Z21" s="50"/>
      <c r="AA21" s="50"/>
      <c r="AB21" s="50"/>
      <c r="AC21" s="102"/>
      <c r="AD21" s="102"/>
      <c r="AE21" s="102"/>
    </row>
    <row r="22" spans="1:31" ht="16.649999999999999" customHeight="1" x14ac:dyDescent="0.25">
      <c r="A22" s="66" t="s">
        <v>102</v>
      </c>
      <c r="C22" s="68">
        <f>HLOOKUP(C$7,$N$7:$AE$48,$L22,FALSE)</f>
        <v>23302000</v>
      </c>
      <c r="E22" s="68">
        <f>HLOOKUP(E$7,$N$7:$AE$48,$L22,FALSE)</f>
        <v>34583000</v>
      </c>
      <c r="G22" s="69">
        <f>+C22-E22</f>
        <v>-11281000</v>
      </c>
      <c r="H22" s="70">
        <f>IFERROR(+G22/E22,0)</f>
        <v>-0.32620073446491049</v>
      </c>
      <c r="J22" s="54" t="str">
        <f>IF(G22&gt;0,"increase","decrease")</f>
        <v>decrease</v>
      </c>
      <c r="L22" s="62">
        <f t="shared" si="0"/>
        <v>16</v>
      </c>
      <c r="O22" s="69">
        <v>23302000</v>
      </c>
      <c r="P22" s="69">
        <v>26989000</v>
      </c>
      <c r="Q22" s="69">
        <v>30737000</v>
      </c>
      <c r="R22" s="69">
        <v>34583000</v>
      </c>
      <c r="S22" s="69">
        <v>4180000</v>
      </c>
      <c r="T22" s="69">
        <v>5361000</v>
      </c>
      <c r="U22" s="69">
        <v>6578000</v>
      </c>
      <c r="V22" s="69">
        <v>9868000</v>
      </c>
      <c r="W22" s="69">
        <v>13203000</v>
      </c>
      <c r="X22" s="69">
        <v>17394000</v>
      </c>
      <c r="Y22" s="69">
        <v>31536000</v>
      </c>
      <c r="Z22" s="69">
        <v>33970000</v>
      </c>
      <c r="AA22" s="69">
        <v>38607000</v>
      </c>
      <c r="AB22" s="69">
        <v>39730000</v>
      </c>
      <c r="AC22" s="72">
        <v>32577000</v>
      </c>
      <c r="AD22" s="72">
        <v>36709000</v>
      </c>
      <c r="AE22" s="72">
        <v>39915000</v>
      </c>
    </row>
    <row r="23" spans="1:31" ht="16.649999999999999" customHeight="1" x14ac:dyDescent="0.25">
      <c r="A23" s="66" t="s">
        <v>103</v>
      </c>
      <c r="C23" s="68">
        <f>HLOOKUP(C$7,$N$7:$AE$48,$L23,FALSE)</f>
        <v>501559000</v>
      </c>
      <c r="E23" s="68">
        <f>HLOOKUP(E$7,$N$7:$AE$48,$L23,FALSE)</f>
        <v>501756000</v>
      </c>
      <c r="G23" s="69">
        <f>+C23-E23</f>
        <v>-197000</v>
      </c>
      <c r="H23" s="70">
        <f>IFERROR(+G23/E23,0)</f>
        <v>-3.9262111464536547E-4</v>
      </c>
      <c r="J23" s="54" t="str">
        <f>IF(G23&gt;0,"increase","decrease")</f>
        <v>decrease</v>
      </c>
      <c r="L23" s="62">
        <f t="shared" si="0"/>
        <v>17</v>
      </c>
      <c r="O23" s="69">
        <v>501559000</v>
      </c>
      <c r="P23" s="69">
        <v>501924000</v>
      </c>
      <c r="Q23" s="69">
        <v>501721000</v>
      </c>
      <c r="R23" s="69">
        <v>501756000</v>
      </c>
      <c r="S23" s="69">
        <v>360227000</v>
      </c>
      <c r="T23" s="69">
        <v>360016000</v>
      </c>
      <c r="U23" s="69">
        <v>363178000</v>
      </c>
      <c r="V23" s="69">
        <v>363116000</v>
      </c>
      <c r="W23" s="69">
        <v>363129000</v>
      </c>
      <c r="X23" s="69">
        <v>362517000</v>
      </c>
      <c r="Y23" s="69">
        <v>363789000</v>
      </c>
      <c r="Z23" s="69">
        <v>363895000</v>
      </c>
      <c r="AA23" s="69">
        <v>364241000</v>
      </c>
      <c r="AB23" s="69">
        <v>357446000</v>
      </c>
      <c r="AC23" s="72">
        <v>301321000</v>
      </c>
      <c r="AD23" s="72">
        <v>300741000</v>
      </c>
      <c r="AE23" s="72">
        <v>298389000</v>
      </c>
    </row>
    <row r="24" spans="1:31" ht="16.649999999999999" customHeight="1" x14ac:dyDescent="0.25">
      <c r="A24" s="66" t="s">
        <v>104</v>
      </c>
      <c r="C24" s="68">
        <f>HLOOKUP(C$7,$N$7:$AE$48,$L24,FALSE)</f>
        <v>44497000</v>
      </c>
      <c r="E24" s="68">
        <f>HLOOKUP(E$7,$N$7:$AE$48,$L24,FALSE)</f>
        <v>48143000</v>
      </c>
      <c r="G24" s="69">
        <f>+C24-E24</f>
        <v>-3646000</v>
      </c>
      <c r="H24" s="70">
        <f>IFERROR(+G24/E24,0)</f>
        <v>-7.5732712959308723E-2</v>
      </c>
      <c r="J24" s="54" t="str">
        <f>IF(G24&gt;0,"increase","decrease")</f>
        <v>decrease</v>
      </c>
      <c r="L24" s="62">
        <f t="shared" si="0"/>
        <v>18</v>
      </c>
      <c r="O24" s="69">
        <v>44497000</v>
      </c>
      <c r="P24" s="69">
        <v>43456000</v>
      </c>
      <c r="Q24" s="69">
        <v>45402000</v>
      </c>
      <c r="R24" s="69">
        <v>48143000</v>
      </c>
      <c r="S24" s="69">
        <v>44172000</v>
      </c>
      <c r="T24" s="69">
        <v>39937000</v>
      </c>
      <c r="U24" s="69">
        <v>36944000</v>
      </c>
      <c r="V24" s="69">
        <v>37030000</v>
      </c>
      <c r="W24" s="69">
        <v>32717000</v>
      </c>
      <c r="X24" s="69">
        <v>31514000</v>
      </c>
      <c r="Y24" s="69">
        <v>29483000</v>
      </c>
      <c r="Z24" s="69">
        <v>27988000</v>
      </c>
      <c r="AA24" s="69">
        <v>26002000</v>
      </c>
      <c r="AB24" s="69">
        <v>22619000</v>
      </c>
      <c r="AC24" s="72">
        <v>21096000</v>
      </c>
      <c r="AD24" s="72">
        <v>19459000</v>
      </c>
      <c r="AE24" s="72">
        <v>17695000</v>
      </c>
    </row>
    <row r="25" spans="1:31" ht="16.649999999999999" customHeight="1" x14ac:dyDescent="0.25">
      <c r="A25" s="66" t="s">
        <v>105</v>
      </c>
      <c r="C25" s="73">
        <f>HLOOKUP(C$7,$N$7:$AE$48,$L25,FALSE)</f>
        <v>33389000</v>
      </c>
      <c r="E25" s="73">
        <f>HLOOKUP(E$7,$N$7:$AE$48,$L25,FALSE)</f>
        <v>36748000</v>
      </c>
      <c r="G25" s="69">
        <f>+C25-E25</f>
        <v>-3359000</v>
      </c>
      <c r="H25" s="70">
        <f>IFERROR(+G25/E25,0)</f>
        <v>-9.1406335038641554E-2</v>
      </c>
      <c r="J25" s="54" t="str">
        <f>IF(G25&gt;0,"increase","decrease")</f>
        <v>decrease</v>
      </c>
      <c r="L25" s="62">
        <f t="shared" si="0"/>
        <v>19</v>
      </c>
      <c r="O25" s="74">
        <v>33389000</v>
      </c>
      <c r="P25" s="74">
        <v>33025000</v>
      </c>
      <c r="Q25" s="74">
        <v>35663000</v>
      </c>
      <c r="R25" s="74">
        <v>36748000</v>
      </c>
      <c r="S25" s="74">
        <v>38298000</v>
      </c>
      <c r="T25" s="74">
        <v>41785000</v>
      </c>
      <c r="U25" s="74">
        <v>45130000</v>
      </c>
      <c r="V25" s="74">
        <v>41045000</v>
      </c>
      <c r="W25" s="74">
        <v>52431000</v>
      </c>
      <c r="X25" s="74">
        <v>61237000</v>
      </c>
      <c r="Y25" s="74">
        <v>85361000</v>
      </c>
      <c r="Z25" s="74">
        <v>71627000</v>
      </c>
      <c r="AA25" s="74">
        <v>38973000</v>
      </c>
      <c r="AB25" s="74">
        <v>30854000</v>
      </c>
      <c r="AC25" s="75">
        <v>32332000</v>
      </c>
      <c r="AD25" s="75">
        <v>34500000</v>
      </c>
      <c r="AE25" s="75">
        <v>35552000</v>
      </c>
    </row>
    <row r="26" spans="1:31" ht="16.649999999999999" customHeight="1" x14ac:dyDescent="0.25">
      <c r="C26" s="79">
        <f>+C16+C20+SUM(C22:C25)</f>
        <v>1253213000</v>
      </c>
      <c r="E26" s="79">
        <f>+E16+E20+SUM(E22:E25)</f>
        <v>1231443000</v>
      </c>
      <c r="G26" s="69">
        <f>+C26-E26</f>
        <v>21770000</v>
      </c>
      <c r="H26" s="70">
        <f>IFERROR(+G26/E26,0)</f>
        <v>1.7678447155085538E-2</v>
      </c>
      <c r="J26" s="54" t="str">
        <f>IF(G26&gt;0,"increase","decrease")</f>
        <v>increase</v>
      </c>
      <c r="L26" s="62">
        <f t="shared" si="0"/>
        <v>20</v>
      </c>
      <c r="N26" s="79">
        <f t="shared" ref="N26:AE26" si="8">+N16+N20+SUM(N22:N25)</f>
        <v>0</v>
      </c>
      <c r="O26" s="79">
        <f t="shared" si="8"/>
        <v>1253213000</v>
      </c>
      <c r="P26" s="79">
        <f t="shared" si="8"/>
        <v>1194888000</v>
      </c>
      <c r="Q26" s="79">
        <f t="shared" si="8"/>
        <v>1206256000</v>
      </c>
      <c r="R26" s="79">
        <f t="shared" si="8"/>
        <v>1231443000</v>
      </c>
      <c r="S26" s="79">
        <f t="shared" si="8"/>
        <v>1224741000</v>
      </c>
      <c r="T26" s="79">
        <f t="shared" si="8"/>
        <v>1180519000</v>
      </c>
      <c r="U26" s="79">
        <f t="shared" si="8"/>
        <v>1163931000</v>
      </c>
      <c r="V26" s="79">
        <f t="shared" si="8"/>
        <v>1172703000</v>
      </c>
      <c r="W26" s="79">
        <f t="shared" si="8"/>
        <v>1166483000</v>
      </c>
      <c r="X26" s="79">
        <f t="shared" si="8"/>
        <v>1188499000</v>
      </c>
      <c r="Y26" s="79">
        <f t="shared" si="8"/>
        <v>1342535000</v>
      </c>
      <c r="Z26" s="79">
        <f t="shared" si="8"/>
        <v>1282372000</v>
      </c>
      <c r="AA26" s="79">
        <f t="shared" si="8"/>
        <v>1249905000</v>
      </c>
      <c r="AB26" s="79">
        <f t="shared" si="8"/>
        <v>1288321000</v>
      </c>
      <c r="AC26" s="80">
        <f t="shared" si="8"/>
        <v>1259500000</v>
      </c>
      <c r="AD26" s="80">
        <f t="shared" si="8"/>
        <v>1238637000</v>
      </c>
      <c r="AE26" s="80">
        <f t="shared" si="8"/>
        <v>1233931000</v>
      </c>
    </row>
    <row r="27" spans="1:31" ht="16.649999999999999" customHeight="1" x14ac:dyDescent="0.25">
      <c r="C27" s="103"/>
      <c r="E27" s="103"/>
      <c r="L27" s="62">
        <f t="shared" si="0"/>
        <v>21</v>
      </c>
      <c r="N27" s="103"/>
      <c r="O27" s="103"/>
      <c r="P27" s="103"/>
      <c r="Q27" s="103"/>
      <c r="R27" s="103"/>
      <c r="S27" s="103"/>
      <c r="T27" s="103"/>
      <c r="U27" s="103"/>
      <c r="V27" s="103"/>
      <c r="W27" s="103"/>
      <c r="X27" s="103"/>
      <c r="Y27" s="103"/>
      <c r="Z27" s="103"/>
      <c r="AA27" s="103"/>
      <c r="AB27" s="103"/>
      <c r="AC27" s="104"/>
      <c r="AD27" s="104"/>
      <c r="AE27" s="104"/>
    </row>
    <row r="28" spans="1:31" ht="16.649999999999999" customHeight="1" x14ac:dyDescent="0.25">
      <c r="A28" s="51" t="s">
        <v>106</v>
      </c>
      <c r="L28" s="62">
        <f t="shared" si="0"/>
        <v>22</v>
      </c>
    </row>
    <row r="29" spans="1:31" ht="16.649999999999999" customHeight="1" x14ac:dyDescent="0.25">
      <c r="A29" s="66" t="s">
        <v>107</v>
      </c>
      <c r="L29" s="62">
        <f t="shared" si="0"/>
        <v>23</v>
      </c>
    </row>
    <row r="30" spans="1:31" ht="16.649999999999999" customHeight="1" x14ac:dyDescent="0.25">
      <c r="A30" s="67" t="s">
        <v>108</v>
      </c>
      <c r="C30" s="68">
        <f t="shared" ref="C30:C35" si="9">HLOOKUP(C$7,$N$7:$AE$48,$L30,FALSE)</f>
        <v>105334000</v>
      </c>
      <c r="E30" s="68">
        <f t="shared" ref="E30:E35" si="10">HLOOKUP(E$7,$N$7:$AE$48,$L30,FALSE)</f>
        <v>81202000</v>
      </c>
      <c r="G30" s="69">
        <f t="shared" ref="G30:G36" si="11">+C30-E30</f>
        <v>24132000</v>
      </c>
      <c r="H30" s="70">
        <f t="shared" ref="H30:H36" si="12">IFERROR(+G30/E30,0)</f>
        <v>0.29718479840398021</v>
      </c>
      <c r="J30" s="54" t="str">
        <f t="shared" ref="J30:J36" si="13">IF(G30&gt;0,"increase","decrease")</f>
        <v>increase</v>
      </c>
      <c r="L30" s="62">
        <f t="shared" si="0"/>
        <v>24</v>
      </c>
      <c r="O30" s="69">
        <v>105334000</v>
      </c>
      <c r="P30" s="69">
        <v>91457000</v>
      </c>
      <c r="Q30" s="69">
        <v>84769000</v>
      </c>
      <c r="R30" s="69">
        <v>81202000</v>
      </c>
      <c r="S30" s="69">
        <v>88797000</v>
      </c>
      <c r="T30" s="69">
        <v>79344000</v>
      </c>
      <c r="U30" s="69">
        <v>74077000</v>
      </c>
      <c r="V30" s="69">
        <v>86568000</v>
      </c>
      <c r="W30" s="69">
        <v>83938000</v>
      </c>
      <c r="X30" s="69">
        <v>70312000</v>
      </c>
      <c r="Y30" s="69">
        <v>71655000</v>
      </c>
      <c r="Z30" s="69">
        <v>44267000</v>
      </c>
      <c r="AA30" s="69">
        <v>32231000</v>
      </c>
      <c r="AB30" s="69">
        <v>39955000</v>
      </c>
      <c r="AC30" s="72">
        <v>44464000</v>
      </c>
      <c r="AD30" s="72">
        <v>38102000</v>
      </c>
      <c r="AE30" s="72">
        <v>38380000</v>
      </c>
    </row>
    <row r="31" spans="1:31" ht="16.649999999999999" customHeight="1" x14ac:dyDescent="0.25">
      <c r="A31" s="67" t="s">
        <v>109</v>
      </c>
      <c r="C31" s="68">
        <f t="shared" si="9"/>
        <v>35639000</v>
      </c>
      <c r="E31" s="68">
        <f t="shared" si="10"/>
        <v>61575000</v>
      </c>
      <c r="G31" s="69">
        <f t="shared" si="11"/>
        <v>-25936000</v>
      </c>
      <c r="H31" s="70">
        <f t="shared" si="12"/>
        <v>-0.42120990661794561</v>
      </c>
      <c r="J31" s="54" t="str">
        <f t="shared" si="13"/>
        <v>decrease</v>
      </c>
      <c r="L31" s="62">
        <f t="shared" si="0"/>
        <v>25</v>
      </c>
      <c r="O31" s="69">
        <v>35639000</v>
      </c>
      <c r="P31" s="69">
        <v>27340000</v>
      </c>
      <c r="Q31" s="69">
        <v>23216000</v>
      </c>
      <c r="R31" s="69">
        <v>61575000</v>
      </c>
      <c r="S31" s="69">
        <v>47398000</v>
      </c>
      <c r="T31" s="69">
        <v>35331000</v>
      </c>
      <c r="U31" s="69">
        <v>23929000</v>
      </c>
      <c r="V31" s="69">
        <v>33434000</v>
      </c>
      <c r="W31" s="69">
        <v>33250000</v>
      </c>
      <c r="X31" s="69">
        <v>22822000</v>
      </c>
      <c r="Y31" s="69">
        <v>32496000</v>
      </c>
      <c r="Z31" s="69">
        <v>24427000</v>
      </c>
      <c r="AA31" s="69">
        <v>20513000</v>
      </c>
      <c r="AB31" s="69">
        <v>46438000</v>
      </c>
      <c r="AC31" s="72">
        <v>28599000</v>
      </c>
      <c r="AD31" s="72">
        <v>23172000</v>
      </c>
      <c r="AE31" s="72">
        <v>16727000</v>
      </c>
    </row>
    <row r="32" spans="1:31" ht="16.649999999999999" customHeight="1" x14ac:dyDescent="0.25">
      <c r="A32" s="67" t="s">
        <v>110</v>
      </c>
      <c r="C32" s="68">
        <f t="shared" si="9"/>
        <v>45856000</v>
      </c>
      <c r="E32" s="68">
        <f t="shared" si="10"/>
        <v>42857000</v>
      </c>
      <c r="G32" s="69">
        <f t="shared" si="11"/>
        <v>2999000</v>
      </c>
      <c r="H32" s="70">
        <f t="shared" si="12"/>
        <v>6.9976899922999741E-2</v>
      </c>
      <c r="J32" s="54" t="str">
        <f t="shared" si="13"/>
        <v>increase</v>
      </c>
      <c r="L32" s="62">
        <f t="shared" si="0"/>
        <v>26</v>
      </c>
      <c r="O32" s="69">
        <v>45856000</v>
      </c>
      <c r="P32" s="69">
        <v>44515000</v>
      </c>
      <c r="Q32" s="69">
        <v>43220000</v>
      </c>
      <c r="R32" s="69">
        <v>42857000</v>
      </c>
      <c r="S32" s="69">
        <v>42600000</v>
      </c>
      <c r="T32" s="69">
        <v>37133000</v>
      </c>
      <c r="U32" s="69">
        <v>39322000</v>
      </c>
      <c r="V32" s="69">
        <v>35736000</v>
      </c>
      <c r="W32" s="69">
        <v>42394000</v>
      </c>
      <c r="X32" s="69">
        <v>40667000</v>
      </c>
      <c r="Y32" s="69">
        <v>56221000</v>
      </c>
      <c r="Z32" s="69">
        <v>47766000</v>
      </c>
      <c r="AA32" s="69">
        <v>57511000</v>
      </c>
      <c r="AB32" s="69">
        <v>58353000</v>
      </c>
      <c r="AC32" s="72">
        <v>72480000</v>
      </c>
      <c r="AD32" s="72">
        <v>58532000</v>
      </c>
      <c r="AE32" s="72">
        <v>50024000</v>
      </c>
    </row>
    <row r="33" spans="1:31" ht="16.649999999999999" customHeight="1" x14ac:dyDescent="0.25">
      <c r="A33" s="67" t="s">
        <v>111</v>
      </c>
      <c r="C33" s="68">
        <f t="shared" si="9"/>
        <v>0</v>
      </c>
      <c r="E33" s="68">
        <f t="shared" si="10"/>
        <v>0</v>
      </c>
      <c r="G33" s="69">
        <f t="shared" si="11"/>
        <v>0</v>
      </c>
      <c r="H33" s="70">
        <f t="shared" si="12"/>
        <v>0</v>
      </c>
      <c r="J33" s="54" t="str">
        <f t="shared" si="13"/>
        <v>decrease</v>
      </c>
      <c r="L33" s="62">
        <f t="shared" si="0"/>
        <v>27</v>
      </c>
      <c r="V33" s="69">
        <v>0</v>
      </c>
      <c r="W33" s="69">
        <v>0</v>
      </c>
      <c r="X33" s="69">
        <v>0</v>
      </c>
      <c r="Y33" s="69">
        <v>8731000</v>
      </c>
      <c r="Z33" s="69">
        <v>8731000</v>
      </c>
      <c r="AA33" s="69">
        <v>8731000</v>
      </c>
      <c r="AB33" s="69">
        <v>8900000</v>
      </c>
      <c r="AC33" s="72">
        <v>0</v>
      </c>
      <c r="AD33" s="72">
        <v>14815000</v>
      </c>
      <c r="AE33" s="72">
        <v>14815000</v>
      </c>
    </row>
    <row r="34" spans="1:31" ht="16.649999999999999" customHeight="1" x14ac:dyDescent="0.25">
      <c r="A34" s="67" t="s">
        <v>112</v>
      </c>
      <c r="C34" s="68">
        <f t="shared" si="9"/>
        <v>44795000</v>
      </c>
      <c r="E34" s="68">
        <f t="shared" si="10"/>
        <v>30942000</v>
      </c>
      <c r="G34" s="69">
        <f t="shared" si="11"/>
        <v>13853000</v>
      </c>
      <c r="H34" s="70">
        <f t="shared" si="12"/>
        <v>0.44770861612048346</v>
      </c>
      <c r="J34" s="54" t="str">
        <f t="shared" si="13"/>
        <v>increase</v>
      </c>
      <c r="L34" s="62">
        <f t="shared" si="0"/>
        <v>28</v>
      </c>
      <c r="O34" s="69">
        <v>44795000</v>
      </c>
      <c r="P34" s="69">
        <v>36156000</v>
      </c>
      <c r="Q34" s="69">
        <v>38433000</v>
      </c>
      <c r="R34" s="69">
        <v>30942000</v>
      </c>
      <c r="S34" s="69">
        <v>29957000</v>
      </c>
      <c r="T34" s="69">
        <v>20978000</v>
      </c>
      <c r="U34" s="69">
        <v>27267000</v>
      </c>
      <c r="V34" s="69">
        <v>19091000</v>
      </c>
      <c r="W34" s="69">
        <v>16195000</v>
      </c>
      <c r="X34" s="69">
        <v>16397000</v>
      </c>
      <c r="Y34" s="69">
        <v>14933000</v>
      </c>
      <c r="Z34" s="69">
        <v>11058000</v>
      </c>
      <c r="AA34" s="69">
        <v>11197000</v>
      </c>
      <c r="AB34" s="69">
        <v>11603000</v>
      </c>
      <c r="AC34" s="72">
        <v>11789000</v>
      </c>
      <c r="AD34" s="72">
        <v>6546000</v>
      </c>
      <c r="AE34" s="72">
        <v>5938000</v>
      </c>
    </row>
    <row r="35" spans="1:31" ht="16.649999999999999" customHeight="1" x14ac:dyDescent="0.25">
      <c r="A35" s="67" t="s">
        <v>113</v>
      </c>
      <c r="C35" s="68">
        <f t="shared" si="9"/>
        <v>0</v>
      </c>
      <c r="E35" s="68">
        <f t="shared" si="10"/>
        <v>0</v>
      </c>
      <c r="G35" s="69">
        <f t="shared" si="11"/>
        <v>0</v>
      </c>
      <c r="H35" s="70">
        <f t="shared" si="12"/>
        <v>0</v>
      </c>
      <c r="J35" s="54" t="str">
        <f t="shared" si="13"/>
        <v>decrease</v>
      </c>
      <c r="L35" s="62">
        <f t="shared" si="0"/>
        <v>29</v>
      </c>
      <c r="Q35" s="74">
        <v>0</v>
      </c>
      <c r="R35" s="74">
        <v>0</v>
      </c>
      <c r="S35" s="74">
        <v>0</v>
      </c>
      <c r="T35" s="74">
        <v>13911000</v>
      </c>
      <c r="U35" s="74">
        <v>7782000</v>
      </c>
    </row>
    <row r="36" spans="1:31" ht="16.649999999999999" customHeight="1" x14ac:dyDescent="0.25">
      <c r="A36" s="76" t="s">
        <v>114</v>
      </c>
      <c r="C36" s="74">
        <f>SUM(C30:C35)</f>
        <v>231624000</v>
      </c>
      <c r="E36" s="74">
        <f>SUM(E30:E35)</f>
        <v>216576000</v>
      </c>
      <c r="G36" s="69">
        <f t="shared" si="11"/>
        <v>15048000</v>
      </c>
      <c r="H36" s="70">
        <f t="shared" si="12"/>
        <v>6.9481382978723402E-2</v>
      </c>
      <c r="J36" s="54" t="str">
        <f t="shared" si="13"/>
        <v>increase</v>
      </c>
      <c r="L36" s="62">
        <f t="shared" si="0"/>
        <v>30</v>
      </c>
      <c r="N36" s="77">
        <f t="shared" ref="N36:AE36" si="14">SUM(N30:N35)</f>
        <v>0</v>
      </c>
      <c r="O36" s="77">
        <f t="shared" si="14"/>
        <v>231624000</v>
      </c>
      <c r="P36" s="77">
        <f t="shared" si="14"/>
        <v>199468000</v>
      </c>
      <c r="Q36" s="77">
        <f t="shared" si="14"/>
        <v>189638000</v>
      </c>
      <c r="R36" s="77">
        <f t="shared" si="14"/>
        <v>216576000</v>
      </c>
      <c r="S36" s="77">
        <f t="shared" si="14"/>
        <v>208752000</v>
      </c>
      <c r="T36" s="77">
        <f t="shared" si="14"/>
        <v>186697000</v>
      </c>
      <c r="U36" s="77">
        <f t="shared" si="14"/>
        <v>172377000</v>
      </c>
      <c r="V36" s="77">
        <f t="shared" si="14"/>
        <v>174829000</v>
      </c>
      <c r="W36" s="77">
        <f t="shared" si="14"/>
        <v>175777000</v>
      </c>
      <c r="X36" s="77">
        <f t="shared" si="14"/>
        <v>150198000</v>
      </c>
      <c r="Y36" s="77">
        <f t="shared" si="14"/>
        <v>184036000</v>
      </c>
      <c r="Z36" s="77">
        <f t="shared" si="14"/>
        <v>136249000</v>
      </c>
      <c r="AA36" s="77">
        <f t="shared" si="14"/>
        <v>130183000</v>
      </c>
      <c r="AB36" s="77">
        <f t="shared" si="14"/>
        <v>165249000</v>
      </c>
      <c r="AC36" s="77">
        <f t="shared" si="14"/>
        <v>157332000</v>
      </c>
      <c r="AD36" s="77">
        <f t="shared" si="14"/>
        <v>141167000</v>
      </c>
      <c r="AE36" s="77">
        <f t="shared" si="14"/>
        <v>125884000</v>
      </c>
    </row>
    <row r="37" spans="1:31" ht="16.649999999999999" customHeight="1" x14ac:dyDescent="0.25">
      <c r="C37" s="50"/>
      <c r="E37" s="50"/>
      <c r="L37" s="62">
        <f t="shared" si="0"/>
        <v>31</v>
      </c>
      <c r="N37" s="50"/>
      <c r="O37" s="50"/>
      <c r="P37" s="50"/>
      <c r="Q37" s="50"/>
      <c r="R37" s="50"/>
      <c r="S37" s="50"/>
      <c r="T37" s="50"/>
      <c r="U37" s="50"/>
      <c r="V37" s="50"/>
      <c r="W37" s="50"/>
      <c r="X37" s="50"/>
      <c r="Y37" s="50"/>
      <c r="Z37" s="50"/>
      <c r="AA37" s="50"/>
      <c r="AB37" s="50"/>
      <c r="AC37" s="102"/>
      <c r="AD37" s="102"/>
      <c r="AE37" s="102"/>
    </row>
    <row r="38" spans="1:31" ht="16.649999999999999" customHeight="1" x14ac:dyDescent="0.25">
      <c r="A38" s="66" t="s">
        <v>115</v>
      </c>
      <c r="C38" s="68">
        <f>HLOOKUP(C$7,$N$7:$AE$48,$L38,FALSE)</f>
        <v>63882000</v>
      </c>
      <c r="E38" s="68">
        <f>HLOOKUP(E$7,$N$7:$AE$48,$L38,FALSE)</f>
        <v>65732000</v>
      </c>
      <c r="G38" s="69">
        <f>+C38-E38</f>
        <v>-1850000</v>
      </c>
      <c r="H38" s="70">
        <f>IFERROR(+G38/E38,0)</f>
        <v>-2.8144587111300433E-2</v>
      </c>
      <c r="J38" s="54" t="str">
        <f>IF(G38&gt;0,"increase","decrease")</f>
        <v>decrease</v>
      </c>
      <c r="L38" s="62">
        <f t="shared" si="0"/>
        <v>32</v>
      </c>
      <c r="O38" s="69">
        <v>63882000</v>
      </c>
      <c r="P38" s="69">
        <v>63363000</v>
      </c>
      <c r="Q38" s="69">
        <v>64742000</v>
      </c>
      <c r="R38" s="69">
        <v>65732000</v>
      </c>
      <c r="S38" s="69">
        <v>69499000</v>
      </c>
      <c r="T38" s="69">
        <v>71964000</v>
      </c>
      <c r="U38" s="69">
        <v>73023000</v>
      </c>
      <c r="V38" s="69">
        <v>71798000</v>
      </c>
      <c r="W38" s="69">
        <v>79097000</v>
      </c>
      <c r="X38" s="69">
        <v>78232000</v>
      </c>
      <c r="Y38" s="69">
        <v>88085000</v>
      </c>
      <c r="Z38" s="69">
        <v>73176000</v>
      </c>
      <c r="AA38" s="69">
        <v>39126000</v>
      </c>
      <c r="AB38" s="69">
        <v>42389000</v>
      </c>
      <c r="AC38" s="72">
        <v>43667000</v>
      </c>
      <c r="AD38" s="72">
        <v>46608000</v>
      </c>
      <c r="AE38" s="72">
        <v>49758000</v>
      </c>
    </row>
    <row r="39" spans="1:31" ht="16.649999999999999" customHeight="1" x14ac:dyDescent="0.25">
      <c r="L39" s="62">
        <f t="shared" si="0"/>
        <v>33</v>
      </c>
    </row>
    <row r="40" spans="1:31" ht="16.649999999999999" customHeight="1" x14ac:dyDescent="0.25">
      <c r="A40" s="67" t="s">
        <v>116</v>
      </c>
      <c r="L40" s="62">
        <f t="shared" si="0"/>
        <v>34</v>
      </c>
    </row>
    <row r="41" spans="1:31" ht="16.649999999999999" customHeight="1" x14ac:dyDescent="0.25">
      <c r="A41" s="81" t="s">
        <v>117</v>
      </c>
      <c r="C41" s="68">
        <f t="shared" ref="C41:C46" si="15">HLOOKUP(C$7,$N$7:$AE$48,$L41,FALSE)</f>
        <v>0</v>
      </c>
      <c r="E41" s="68">
        <f t="shared" ref="E41:E46" si="16">HLOOKUP(E$7,$N$7:$AE$48,$L41,FALSE)</f>
        <v>0</v>
      </c>
      <c r="G41" s="69">
        <f t="shared" ref="G41:G48" si="17">+C41-E41</f>
        <v>0</v>
      </c>
      <c r="H41" s="82" t="str">
        <f>IFERROR(+G41/E41,"n/a")</f>
        <v>n/a</v>
      </c>
      <c r="J41" s="54" t="str">
        <f>IF(G41&gt;0,"increase","decrease")</f>
        <v>decrease</v>
      </c>
      <c r="L41" s="62">
        <f t="shared" si="0"/>
        <v>35</v>
      </c>
      <c r="Q41" s="69">
        <v>0</v>
      </c>
      <c r="R41" s="69">
        <v>0</v>
      </c>
      <c r="S41" s="69">
        <v>0</v>
      </c>
      <c r="T41" s="69">
        <v>0</v>
      </c>
      <c r="U41" s="69">
        <v>0</v>
      </c>
      <c r="V41" s="69">
        <v>0</v>
      </c>
      <c r="W41" s="69">
        <v>0</v>
      </c>
      <c r="X41" s="69">
        <v>0</v>
      </c>
      <c r="Y41" s="69">
        <v>0</v>
      </c>
      <c r="Z41" s="69">
        <v>0</v>
      </c>
      <c r="AA41" s="69">
        <v>0</v>
      </c>
      <c r="AB41" s="69">
        <v>0</v>
      </c>
      <c r="AC41" s="72">
        <v>0</v>
      </c>
      <c r="AD41" s="72">
        <v>0</v>
      </c>
      <c r="AE41" s="72">
        <v>0</v>
      </c>
    </row>
    <row r="42" spans="1:31" ht="16.649999999999999" customHeight="1" x14ac:dyDescent="0.25">
      <c r="A42" s="81" t="s">
        <v>118</v>
      </c>
      <c r="C42" s="68">
        <f t="shared" si="15"/>
        <v>15853000</v>
      </c>
      <c r="E42" s="68">
        <f t="shared" si="16"/>
        <v>15594000</v>
      </c>
      <c r="G42" s="69">
        <f t="shared" si="17"/>
        <v>259000</v>
      </c>
      <c r="H42" s="70">
        <f t="shared" ref="H42:H48" si="18">IFERROR(+G42/E42,0)</f>
        <v>1.6608952161087598E-2</v>
      </c>
      <c r="J42" s="54" t="str">
        <f>IF(G42&gt;0,"increase","decrease")</f>
        <v>increase</v>
      </c>
      <c r="L42" s="62">
        <f t="shared" si="0"/>
        <v>36</v>
      </c>
      <c r="O42" s="69">
        <v>15853000</v>
      </c>
      <c r="P42" s="69">
        <v>15782000</v>
      </c>
      <c r="Q42" s="69">
        <v>15726000</v>
      </c>
      <c r="R42" s="69">
        <v>15594000</v>
      </c>
      <c r="S42" s="69">
        <v>15542000</v>
      </c>
      <c r="T42" s="69">
        <v>15473000</v>
      </c>
      <c r="U42" s="69">
        <v>15455000</v>
      </c>
      <c r="V42" s="69">
        <v>15399000</v>
      </c>
      <c r="W42" s="69">
        <v>15205000</v>
      </c>
      <c r="X42" s="69">
        <v>15148000</v>
      </c>
      <c r="Y42" s="69">
        <v>14925000</v>
      </c>
      <c r="Z42" s="69">
        <v>14887000</v>
      </c>
      <c r="AA42" s="69">
        <v>14866000</v>
      </c>
      <c r="AB42" s="69">
        <v>14781000</v>
      </c>
      <c r="AC42" s="72">
        <v>14647000</v>
      </c>
      <c r="AD42" s="72">
        <v>14570000</v>
      </c>
      <c r="AE42" s="72">
        <v>14525000</v>
      </c>
    </row>
    <row r="43" spans="1:31" ht="16.649999999999999" customHeight="1" x14ac:dyDescent="0.25">
      <c r="A43" s="81" t="s">
        <v>119</v>
      </c>
      <c r="C43" s="68">
        <f t="shared" si="15"/>
        <v>2022227000</v>
      </c>
      <c r="E43" s="68">
        <f t="shared" si="16"/>
        <v>1933776000</v>
      </c>
      <c r="G43" s="69">
        <f t="shared" si="17"/>
        <v>88451000</v>
      </c>
      <c r="H43" s="70">
        <f t="shared" si="18"/>
        <v>4.5740044348466423E-2</v>
      </c>
      <c r="J43" s="54" t="str">
        <f>IF(G43&gt;0,"increase","decrease")</f>
        <v>increase</v>
      </c>
      <c r="L43" s="62">
        <f t="shared" si="0"/>
        <v>37</v>
      </c>
      <c r="O43" s="69">
        <v>2022227000</v>
      </c>
      <c r="P43" s="69">
        <v>1994541000</v>
      </c>
      <c r="Q43" s="69">
        <v>1966578000</v>
      </c>
      <c r="R43" s="69">
        <v>1933776000</v>
      </c>
      <c r="S43" s="69">
        <v>1909370000</v>
      </c>
      <c r="T43" s="69">
        <v>1889178000</v>
      </c>
      <c r="U43" s="69">
        <v>1873935000</v>
      </c>
      <c r="V43" s="69">
        <v>1855916000</v>
      </c>
      <c r="W43" s="69">
        <v>1810383000</v>
      </c>
      <c r="X43" s="69">
        <v>1780803000</v>
      </c>
      <c r="Y43" s="69">
        <v>1689172000</v>
      </c>
      <c r="Z43" s="69">
        <v>1669461000</v>
      </c>
      <c r="AA43" s="69">
        <v>1653525000</v>
      </c>
      <c r="AB43" s="69">
        <v>1630072000</v>
      </c>
      <c r="AC43" s="72">
        <v>1574347000</v>
      </c>
      <c r="AD43" s="72">
        <v>1552303000</v>
      </c>
      <c r="AE43" s="72">
        <v>1532481000</v>
      </c>
    </row>
    <row r="44" spans="1:31" ht="16.649999999999999" customHeight="1" x14ac:dyDescent="0.25">
      <c r="A44" s="81" t="s">
        <v>120</v>
      </c>
      <c r="C44" s="68">
        <f t="shared" si="15"/>
        <v>1319625000</v>
      </c>
      <c r="E44" s="68">
        <f t="shared" si="16"/>
        <v>1314172000</v>
      </c>
      <c r="G44" s="69">
        <f t="shared" si="17"/>
        <v>5453000</v>
      </c>
      <c r="H44" s="70">
        <f t="shared" si="18"/>
        <v>4.1493807507693055E-3</v>
      </c>
      <c r="J44" s="54" t="str">
        <f>IF(G44&gt;0,"increase","decrease")</f>
        <v>increase</v>
      </c>
      <c r="L44" s="62">
        <f t="shared" si="0"/>
        <v>38</v>
      </c>
      <c r="O44" s="69">
        <v>1319625000</v>
      </c>
      <c r="P44" s="69">
        <v>1308415000</v>
      </c>
      <c r="Q44" s="69">
        <v>1306683000</v>
      </c>
      <c r="R44" s="69">
        <v>1314172000</v>
      </c>
      <c r="S44" s="69">
        <v>1319545000</v>
      </c>
      <c r="T44" s="69">
        <v>1305568000</v>
      </c>
      <c r="U44" s="69">
        <v>1300705000</v>
      </c>
      <c r="V44" s="69">
        <v>1302291000</v>
      </c>
      <c r="W44" s="69">
        <v>1333655000</v>
      </c>
      <c r="X44" s="69">
        <v>1363339000</v>
      </c>
      <c r="Y44" s="69">
        <v>1450385000</v>
      </c>
      <c r="Z44" s="69">
        <v>1465760000</v>
      </c>
      <c r="AA44" s="69">
        <v>1472191000</v>
      </c>
      <c r="AB44" s="69">
        <v>1454826000</v>
      </c>
      <c r="AC44" s="72">
        <v>1487673000</v>
      </c>
      <c r="AD44" s="72">
        <v>1499398000</v>
      </c>
      <c r="AE44" s="72">
        <v>1523366000</v>
      </c>
    </row>
    <row r="45" spans="1:31" ht="16.649999999999999" customHeight="1" x14ac:dyDescent="0.25">
      <c r="A45" s="81" t="s">
        <v>121</v>
      </c>
      <c r="C45" s="68">
        <f t="shared" si="15"/>
        <v>3493000</v>
      </c>
      <c r="E45" s="68">
        <f t="shared" si="16"/>
        <v>3964000</v>
      </c>
      <c r="G45" s="69">
        <f t="shared" si="17"/>
        <v>-471000</v>
      </c>
      <c r="H45" s="70">
        <f t="shared" si="18"/>
        <v>-0.11881937436932391</v>
      </c>
      <c r="J45" s="54" t="str">
        <f>IF(G45&gt;0,"increase","decrease")</f>
        <v>decrease</v>
      </c>
      <c r="L45" s="62">
        <f t="shared" si="0"/>
        <v>39</v>
      </c>
      <c r="O45" s="69">
        <v>3493000</v>
      </c>
      <c r="P45" s="69">
        <v>5083000</v>
      </c>
      <c r="Q45" s="69">
        <v>3892000</v>
      </c>
      <c r="R45" s="69">
        <v>3964000</v>
      </c>
      <c r="S45" s="69">
        <v>4508000</v>
      </c>
      <c r="T45" s="69">
        <v>3567000</v>
      </c>
      <c r="U45" s="69">
        <v>4565000</v>
      </c>
      <c r="V45" s="69">
        <v>4504000</v>
      </c>
      <c r="W45" s="69">
        <v>4182000</v>
      </c>
      <c r="X45" s="69">
        <v>1925000</v>
      </c>
      <c r="Y45" s="69">
        <v>5890000</v>
      </c>
      <c r="Z45" s="69">
        <v>5976000</v>
      </c>
      <c r="AA45" s="69">
        <v>6970000</v>
      </c>
      <c r="AB45" s="69">
        <v>7522000</v>
      </c>
      <c r="AC45" s="72">
        <v>7814000</v>
      </c>
      <c r="AD45" s="72">
        <v>6944000</v>
      </c>
      <c r="AE45" s="72">
        <v>6342000</v>
      </c>
    </row>
    <row r="46" spans="1:31" ht="16.649999999999999" customHeight="1" x14ac:dyDescent="0.25">
      <c r="A46" s="81" t="s">
        <v>122</v>
      </c>
      <c r="C46" s="73">
        <f t="shared" si="15"/>
        <v>-2403491000</v>
      </c>
      <c r="E46" s="73">
        <f t="shared" si="16"/>
        <v>-2318371000</v>
      </c>
      <c r="G46" s="69">
        <f t="shared" si="17"/>
        <v>-85120000</v>
      </c>
      <c r="H46" s="70">
        <f t="shared" si="18"/>
        <v>3.6715435105080248E-2</v>
      </c>
      <c r="J46" s="54" t="str">
        <f>IF(G46&lt;0,"increase","decrease")</f>
        <v>increase</v>
      </c>
      <c r="L46" s="62">
        <f t="shared" si="0"/>
        <v>40</v>
      </c>
      <c r="O46" s="74">
        <v>-2403491000</v>
      </c>
      <c r="P46" s="74">
        <v>-2391764000</v>
      </c>
      <c r="Q46" s="74">
        <v>-2341003000</v>
      </c>
      <c r="R46" s="74">
        <v>-2318371000</v>
      </c>
      <c r="S46" s="74">
        <v>-2302475000</v>
      </c>
      <c r="T46" s="74">
        <v>-2291928000</v>
      </c>
      <c r="U46" s="74">
        <v>-2276129000</v>
      </c>
      <c r="V46" s="74">
        <v>-2252034000</v>
      </c>
      <c r="W46" s="74">
        <v>-2251816000</v>
      </c>
      <c r="X46" s="74">
        <v>-2201146000</v>
      </c>
      <c r="Y46" s="74">
        <v>-2089958000</v>
      </c>
      <c r="Z46" s="74">
        <v>-2083137000</v>
      </c>
      <c r="AA46" s="74">
        <v>-2066956000</v>
      </c>
      <c r="AB46" s="74">
        <v>-2026518000</v>
      </c>
      <c r="AC46" s="75">
        <v>-2025980000</v>
      </c>
      <c r="AD46" s="75">
        <v>-2022353000</v>
      </c>
      <c r="AE46" s="75">
        <v>-2018425000</v>
      </c>
    </row>
    <row r="47" spans="1:31" ht="16.649999999999999" customHeight="1" x14ac:dyDescent="0.25">
      <c r="A47" s="66" t="s">
        <v>123</v>
      </c>
      <c r="C47" s="77">
        <f>SUM(C42:C46)</f>
        <v>957707000</v>
      </c>
      <c r="E47" s="77">
        <f>SUM(E42:E46)</f>
        <v>949135000</v>
      </c>
      <c r="G47" s="69">
        <f t="shared" si="17"/>
        <v>8572000</v>
      </c>
      <c r="H47" s="70">
        <f t="shared" si="18"/>
        <v>9.0313812049919139E-3</v>
      </c>
      <c r="J47" s="54" t="str">
        <f>IF(G47&gt;0,"increase","decrease")</f>
        <v>increase</v>
      </c>
      <c r="L47" s="62">
        <f t="shared" si="0"/>
        <v>41</v>
      </c>
      <c r="N47" s="77">
        <f t="shared" ref="N47:AA47" si="19">SUM(N42:N46)</f>
        <v>0</v>
      </c>
      <c r="O47" s="77">
        <f t="shared" si="19"/>
        <v>957707000</v>
      </c>
      <c r="P47" s="77">
        <f t="shared" si="19"/>
        <v>932057000</v>
      </c>
      <c r="Q47" s="77">
        <f t="shared" si="19"/>
        <v>951876000</v>
      </c>
      <c r="R47" s="77">
        <f t="shared" si="19"/>
        <v>949135000</v>
      </c>
      <c r="S47" s="77">
        <f t="shared" si="19"/>
        <v>946490000</v>
      </c>
      <c r="T47" s="77">
        <f t="shared" si="19"/>
        <v>921858000</v>
      </c>
      <c r="U47" s="77">
        <f t="shared" si="19"/>
        <v>918531000</v>
      </c>
      <c r="V47" s="77">
        <f t="shared" si="19"/>
        <v>926076000</v>
      </c>
      <c r="W47" s="77">
        <f t="shared" si="19"/>
        <v>911609000</v>
      </c>
      <c r="X47" s="77">
        <f t="shared" si="19"/>
        <v>960069000</v>
      </c>
      <c r="Y47" s="77">
        <f t="shared" si="19"/>
        <v>1070414000</v>
      </c>
      <c r="Z47" s="77">
        <f t="shared" si="19"/>
        <v>1072947000</v>
      </c>
      <c r="AA47" s="77">
        <f t="shared" si="19"/>
        <v>1080596000</v>
      </c>
      <c r="AB47" s="77">
        <f>SUM(AB41:AB46)</f>
        <v>1080683000</v>
      </c>
      <c r="AC47" s="78">
        <f>SUM(AC42:AC46)</f>
        <v>1058501000</v>
      </c>
      <c r="AD47" s="78">
        <f>SUM(AD42:AD46)</f>
        <v>1050862000</v>
      </c>
      <c r="AE47" s="78">
        <f>SUM(AE42:AE46)</f>
        <v>1058289000</v>
      </c>
    </row>
    <row r="48" spans="1:31" ht="16.649999999999999" customHeight="1" x14ac:dyDescent="0.25">
      <c r="C48" s="79">
        <f>+C36+C38+C47</f>
        <v>1253213000</v>
      </c>
      <c r="E48" s="79">
        <f>+E36+E38+E47</f>
        <v>1231443000</v>
      </c>
      <c r="G48" s="69">
        <f t="shared" si="17"/>
        <v>21770000</v>
      </c>
      <c r="H48" s="70">
        <f t="shared" si="18"/>
        <v>1.7678447155085538E-2</v>
      </c>
      <c r="J48" s="54" t="str">
        <f>IF(G48&gt;0,"increase","decrease")</f>
        <v>increase</v>
      </c>
      <c r="L48" s="62">
        <f t="shared" si="0"/>
        <v>42</v>
      </c>
      <c r="N48" s="79">
        <f t="shared" ref="N48:AE48" si="20">+N36+N38+N47</f>
        <v>0</v>
      </c>
      <c r="O48" s="79">
        <f t="shared" si="20"/>
        <v>1253213000</v>
      </c>
      <c r="P48" s="79">
        <f t="shared" si="20"/>
        <v>1194888000</v>
      </c>
      <c r="Q48" s="79">
        <f t="shared" si="20"/>
        <v>1206256000</v>
      </c>
      <c r="R48" s="79">
        <f t="shared" si="20"/>
        <v>1231443000</v>
      </c>
      <c r="S48" s="79">
        <f t="shared" si="20"/>
        <v>1224741000</v>
      </c>
      <c r="T48" s="79">
        <f t="shared" si="20"/>
        <v>1180519000</v>
      </c>
      <c r="U48" s="79">
        <f t="shared" si="20"/>
        <v>1163931000</v>
      </c>
      <c r="V48" s="79">
        <f t="shared" si="20"/>
        <v>1172703000</v>
      </c>
      <c r="W48" s="79">
        <f t="shared" si="20"/>
        <v>1166483000</v>
      </c>
      <c r="X48" s="79">
        <f t="shared" si="20"/>
        <v>1188499000</v>
      </c>
      <c r="Y48" s="79">
        <f t="shared" si="20"/>
        <v>1342535000</v>
      </c>
      <c r="Z48" s="79">
        <f t="shared" si="20"/>
        <v>1282372000</v>
      </c>
      <c r="AA48" s="79">
        <f t="shared" si="20"/>
        <v>1249905000</v>
      </c>
      <c r="AB48" s="79">
        <f t="shared" si="20"/>
        <v>1288321000</v>
      </c>
      <c r="AC48" s="80">
        <f t="shared" si="20"/>
        <v>1259500000</v>
      </c>
      <c r="AD48" s="80">
        <f t="shared" si="20"/>
        <v>1238637000</v>
      </c>
      <c r="AE48" s="80">
        <f t="shared" si="20"/>
        <v>1233931000</v>
      </c>
    </row>
    <row r="49" spans="1:31" ht="16.649999999999999" customHeight="1" x14ac:dyDescent="0.25">
      <c r="C49" s="103"/>
      <c r="E49" s="103"/>
      <c r="N49" s="103"/>
      <c r="O49" s="103"/>
      <c r="P49" s="103"/>
      <c r="Q49" s="103"/>
      <c r="R49" s="103"/>
      <c r="S49" s="103"/>
      <c r="T49" s="103"/>
      <c r="U49" s="103"/>
      <c r="V49" s="103"/>
      <c r="W49" s="103"/>
      <c r="X49" s="103"/>
      <c r="Y49" s="103"/>
      <c r="Z49" s="103"/>
      <c r="AA49" s="104"/>
      <c r="AB49" s="104"/>
      <c r="AC49" s="104"/>
      <c r="AD49" s="104"/>
      <c r="AE49" s="104"/>
    </row>
    <row r="50" spans="1:31" ht="16.649999999999999" customHeight="1" x14ac:dyDescent="0.25">
      <c r="A50" s="82" t="s">
        <v>124</v>
      </c>
      <c r="C50" s="69">
        <f>+C16-C36</f>
        <v>412183000</v>
      </c>
      <c r="E50" s="69">
        <f>+E16-E36</f>
        <v>385456000</v>
      </c>
      <c r="J50" s="54" t="str">
        <f>IF(G50&gt;0,"increase","decrease")</f>
        <v>decrease</v>
      </c>
      <c r="N50" s="69">
        <f t="shared" ref="N50:AE50" si="21">+N16-N36</f>
        <v>0</v>
      </c>
      <c r="O50" s="69">
        <f t="shared" si="21"/>
        <v>412183000</v>
      </c>
      <c r="P50" s="69">
        <f t="shared" si="21"/>
        <v>382652000</v>
      </c>
      <c r="Q50" s="69">
        <f t="shared" si="21"/>
        <v>395399000</v>
      </c>
      <c r="R50" s="69">
        <f t="shared" si="21"/>
        <v>385456000</v>
      </c>
      <c r="S50" s="69">
        <f t="shared" si="21"/>
        <v>560910000</v>
      </c>
      <c r="T50" s="69">
        <f t="shared" si="21"/>
        <v>541149000</v>
      </c>
      <c r="U50" s="69">
        <f t="shared" si="21"/>
        <v>533669000</v>
      </c>
      <c r="V50" s="69">
        <f t="shared" si="21"/>
        <v>539730000</v>
      </c>
      <c r="W50" s="69">
        <f t="shared" si="21"/>
        <v>520417000</v>
      </c>
      <c r="X50" s="69">
        <f t="shared" si="21"/>
        <v>554598000</v>
      </c>
      <c r="Y50" s="69">
        <f t="shared" si="21"/>
        <v>637744000</v>
      </c>
      <c r="Z50" s="69">
        <f t="shared" si="21"/>
        <v>638345000</v>
      </c>
      <c r="AA50" s="83">
        <f t="shared" si="21"/>
        <v>641276000</v>
      </c>
      <c r="AB50" s="83">
        <f t="shared" si="21"/>
        <v>660466000</v>
      </c>
      <c r="AC50" s="83">
        <f t="shared" si="21"/>
        <v>701321000</v>
      </c>
      <c r="AD50" s="83">
        <f t="shared" si="21"/>
        <v>690839000</v>
      </c>
      <c r="AE50" s="83">
        <f t="shared" si="21"/>
        <v>699388000</v>
      </c>
    </row>
    <row r="51" spans="1:31" ht="16.649999999999999" customHeight="1" x14ac:dyDescent="0.25"/>
    <row r="52" spans="1:31" ht="16.649999999999999" customHeight="1" x14ac:dyDescent="0.25"/>
    <row r="53" spans="1:31" ht="16.649999999999999" customHeight="1" x14ac:dyDescent="0.25">
      <c r="A53" s="84" t="s">
        <v>125</v>
      </c>
      <c r="C53" s="374" t="s">
        <v>126</v>
      </c>
      <c r="D53" s="362"/>
      <c r="E53" s="362"/>
      <c r="N53" s="375" t="s">
        <v>127</v>
      </c>
      <c r="O53" s="362"/>
      <c r="P53" s="362"/>
      <c r="Q53" s="362"/>
      <c r="R53" s="362"/>
      <c r="AD53" s="373" t="s">
        <v>128</v>
      </c>
      <c r="AE53" s="362"/>
    </row>
    <row r="54" spans="1:31" ht="15.75" customHeight="1" x14ac:dyDescent="0.25">
      <c r="A54" s="86" t="s">
        <v>129</v>
      </c>
      <c r="C54" s="87" t="e">
        <f>+[1]BalSht!C16</f>
        <v>#REF!</v>
      </c>
      <c r="D54" s="50"/>
      <c r="E54" s="87" t="e">
        <f>+[1]BalSht!E16</f>
        <v>#REF!</v>
      </c>
      <c r="N54" s="105"/>
      <c r="O54" s="87">
        <v>643807000</v>
      </c>
      <c r="P54" s="87">
        <v>582120000</v>
      </c>
      <c r="Q54" s="87">
        <v>585037000</v>
      </c>
      <c r="R54" s="87">
        <v>602032000</v>
      </c>
      <c r="S54" s="87">
        <v>769662000</v>
      </c>
      <c r="T54" s="105"/>
      <c r="U54" s="87">
        <v>706046000</v>
      </c>
      <c r="V54" s="87">
        <v>714559000</v>
      </c>
      <c r="W54" s="87">
        <v>696194000</v>
      </c>
      <c r="X54" s="87">
        <v>704796000</v>
      </c>
      <c r="Y54" s="87">
        <v>821780000</v>
      </c>
      <c r="Z54" s="87">
        <v>774594000</v>
      </c>
      <c r="AA54" s="88">
        <v>771459000</v>
      </c>
      <c r="AB54" s="87">
        <v>825715000</v>
      </c>
      <c r="AC54" s="88">
        <v>858653000</v>
      </c>
      <c r="AD54" s="88">
        <v>832006000</v>
      </c>
      <c r="AE54" s="88">
        <v>825272000</v>
      </c>
    </row>
    <row r="55" spans="1:31" ht="16.649999999999999" customHeight="1" x14ac:dyDescent="0.25">
      <c r="A55" s="89" t="s">
        <v>130</v>
      </c>
      <c r="C55" s="90" t="e">
        <f>+C54-C16</f>
        <v>#REF!</v>
      </c>
      <c r="E55" s="90" t="e">
        <f>+E54-E16</f>
        <v>#REF!</v>
      </c>
      <c r="N55" s="90">
        <f t="shared" ref="N55:S55" si="22">+N54-N16</f>
        <v>0</v>
      </c>
      <c r="O55" s="90">
        <f t="shared" si="22"/>
        <v>0</v>
      </c>
      <c r="P55" s="90">
        <f t="shared" si="22"/>
        <v>0</v>
      </c>
      <c r="Q55" s="90">
        <f t="shared" si="22"/>
        <v>0</v>
      </c>
      <c r="R55" s="90">
        <f t="shared" si="22"/>
        <v>0</v>
      </c>
      <c r="S55" s="90">
        <f t="shared" si="22"/>
        <v>0</v>
      </c>
      <c r="T55" s="106"/>
      <c r="U55" s="90">
        <f t="shared" ref="U55:AE55" si="23">+U54-U16</f>
        <v>0</v>
      </c>
      <c r="V55" s="90">
        <f t="shared" si="23"/>
        <v>0</v>
      </c>
      <c r="W55" s="90">
        <f t="shared" si="23"/>
        <v>0</v>
      </c>
      <c r="X55" s="90">
        <f t="shared" si="23"/>
        <v>0</v>
      </c>
      <c r="Y55" s="90">
        <f t="shared" si="23"/>
        <v>0</v>
      </c>
      <c r="Z55" s="90">
        <f t="shared" si="23"/>
        <v>0</v>
      </c>
      <c r="AA55" s="91">
        <f t="shared" si="23"/>
        <v>0</v>
      </c>
      <c r="AB55" s="90">
        <f t="shared" si="23"/>
        <v>0</v>
      </c>
      <c r="AC55" s="91">
        <f t="shared" si="23"/>
        <v>0</v>
      </c>
      <c r="AD55" s="91">
        <f t="shared" si="23"/>
        <v>0</v>
      </c>
      <c r="AE55" s="91">
        <f t="shared" si="23"/>
        <v>0</v>
      </c>
    </row>
    <row r="56" spans="1:31" ht="16.649999999999999" customHeight="1" x14ac:dyDescent="0.25">
      <c r="A56" s="92" t="s">
        <v>131</v>
      </c>
      <c r="C56" s="93" t="e">
        <f>+[1]BalSht!C26</f>
        <v>#REF!</v>
      </c>
      <c r="E56" s="93" t="e">
        <f>+[1]BalSht!E26</f>
        <v>#REF!</v>
      </c>
      <c r="O56" s="93">
        <v>1253213000</v>
      </c>
      <c r="P56" s="93">
        <v>1194888000</v>
      </c>
      <c r="Q56" s="93">
        <v>1206256000</v>
      </c>
      <c r="R56" s="93">
        <v>1231443000</v>
      </c>
      <c r="S56" s="93">
        <v>1224741000</v>
      </c>
      <c r="U56" s="93">
        <v>1163931000</v>
      </c>
      <c r="V56" s="93">
        <v>1172703000</v>
      </c>
      <c r="W56" s="93">
        <v>1166483000</v>
      </c>
      <c r="X56" s="93">
        <v>1188499000</v>
      </c>
      <c r="Y56" s="93">
        <v>1342535000</v>
      </c>
      <c r="Z56" s="93">
        <v>1282372000</v>
      </c>
      <c r="AA56" s="94">
        <v>1249905000</v>
      </c>
      <c r="AB56" s="93">
        <v>1288321000</v>
      </c>
      <c r="AC56" s="94">
        <v>1259500000</v>
      </c>
      <c r="AD56" s="94">
        <v>1238637000</v>
      </c>
      <c r="AE56" s="94">
        <v>1233931000</v>
      </c>
    </row>
    <row r="57" spans="1:31" ht="16.649999999999999" customHeight="1" x14ac:dyDescent="0.25">
      <c r="A57" s="89" t="s">
        <v>130</v>
      </c>
      <c r="C57" s="90" t="e">
        <f>+C56-C26</f>
        <v>#REF!</v>
      </c>
      <c r="E57" s="90" t="e">
        <f>+E56-E26</f>
        <v>#REF!</v>
      </c>
      <c r="N57" s="90">
        <f t="shared" ref="N57:S57" si="24">+N56-N26</f>
        <v>0</v>
      </c>
      <c r="O57" s="90">
        <f t="shared" si="24"/>
        <v>0</v>
      </c>
      <c r="P57" s="90">
        <f t="shared" si="24"/>
        <v>0</v>
      </c>
      <c r="Q57" s="90">
        <f t="shared" si="24"/>
        <v>0</v>
      </c>
      <c r="R57" s="90">
        <f t="shared" si="24"/>
        <v>0</v>
      </c>
      <c r="S57" s="90">
        <f t="shared" si="24"/>
        <v>0</v>
      </c>
      <c r="T57" s="106"/>
      <c r="U57" s="90">
        <f t="shared" ref="U57:AE57" si="25">+U56-U26</f>
        <v>0</v>
      </c>
      <c r="V57" s="90">
        <f t="shared" si="25"/>
        <v>0</v>
      </c>
      <c r="W57" s="90">
        <f t="shared" si="25"/>
        <v>0</v>
      </c>
      <c r="X57" s="90">
        <f t="shared" si="25"/>
        <v>0</v>
      </c>
      <c r="Y57" s="90">
        <f t="shared" si="25"/>
        <v>0</v>
      </c>
      <c r="Z57" s="90">
        <f t="shared" si="25"/>
        <v>0</v>
      </c>
      <c r="AA57" s="91">
        <f t="shared" si="25"/>
        <v>0</v>
      </c>
      <c r="AB57" s="90">
        <f t="shared" si="25"/>
        <v>0</v>
      </c>
      <c r="AC57" s="91">
        <f t="shared" si="25"/>
        <v>0</v>
      </c>
      <c r="AD57" s="91">
        <f t="shared" si="25"/>
        <v>0</v>
      </c>
      <c r="AE57" s="91">
        <f t="shared" si="25"/>
        <v>0</v>
      </c>
    </row>
    <row r="58" spans="1:31" ht="15.75" customHeight="1" x14ac:dyDescent="0.25">
      <c r="A58" s="92" t="s">
        <v>132</v>
      </c>
      <c r="C58" s="93" t="e">
        <f>+[1]BalSht!C36</f>
        <v>#REF!</v>
      </c>
      <c r="E58" s="93" t="e">
        <f>+[1]BalSht!E36</f>
        <v>#REF!</v>
      </c>
      <c r="O58" s="93">
        <v>231622000</v>
      </c>
      <c r="P58" s="93">
        <v>199468000</v>
      </c>
      <c r="Q58" s="93">
        <v>189638000</v>
      </c>
      <c r="R58" s="93">
        <v>216576000</v>
      </c>
      <c r="S58" s="93">
        <v>208752000</v>
      </c>
      <c r="U58" s="93">
        <v>172377000</v>
      </c>
      <c r="V58" s="93">
        <v>174829000</v>
      </c>
      <c r="W58" s="93">
        <v>175777000</v>
      </c>
      <c r="X58" s="93">
        <v>150198000</v>
      </c>
      <c r="Y58" s="93">
        <v>184036000</v>
      </c>
      <c r="Z58" s="93">
        <v>136249000</v>
      </c>
      <c r="AA58" s="94">
        <v>130183000</v>
      </c>
      <c r="AB58" s="93">
        <v>165249000</v>
      </c>
      <c r="AC58" s="94">
        <v>157332000</v>
      </c>
      <c r="AD58" s="94">
        <v>141167000</v>
      </c>
      <c r="AE58" s="94">
        <v>125884000</v>
      </c>
    </row>
    <row r="59" spans="1:31" ht="16.649999999999999" customHeight="1" x14ac:dyDescent="0.25">
      <c r="A59" s="89" t="s">
        <v>130</v>
      </c>
      <c r="C59" s="90" t="e">
        <f>+C58-C36</f>
        <v>#REF!</v>
      </c>
      <c r="E59" s="90" t="e">
        <f>+E58-E36</f>
        <v>#REF!</v>
      </c>
      <c r="N59" s="90">
        <f t="shared" ref="N59:S59" si="26">+N58-N36</f>
        <v>0</v>
      </c>
      <c r="O59" s="90">
        <f t="shared" si="26"/>
        <v>-2000</v>
      </c>
      <c r="P59" s="90">
        <f t="shared" si="26"/>
        <v>0</v>
      </c>
      <c r="Q59" s="90">
        <f t="shared" si="26"/>
        <v>0</v>
      </c>
      <c r="R59" s="90">
        <f t="shared" si="26"/>
        <v>0</v>
      </c>
      <c r="S59" s="90">
        <f t="shared" si="26"/>
        <v>0</v>
      </c>
      <c r="T59" s="106"/>
      <c r="U59" s="90">
        <f t="shared" ref="U59:AE59" si="27">+U58-U36</f>
        <v>0</v>
      </c>
      <c r="V59" s="90">
        <f t="shared" si="27"/>
        <v>0</v>
      </c>
      <c r="W59" s="90">
        <f t="shared" si="27"/>
        <v>0</v>
      </c>
      <c r="X59" s="90">
        <f t="shared" si="27"/>
        <v>0</v>
      </c>
      <c r="Y59" s="90">
        <f t="shared" si="27"/>
        <v>0</v>
      </c>
      <c r="Z59" s="90">
        <f t="shared" si="27"/>
        <v>0</v>
      </c>
      <c r="AA59" s="91">
        <f t="shared" si="27"/>
        <v>0</v>
      </c>
      <c r="AB59" s="90">
        <f t="shared" si="27"/>
        <v>0</v>
      </c>
      <c r="AC59" s="91">
        <f t="shared" si="27"/>
        <v>0</v>
      </c>
      <c r="AD59" s="91">
        <f t="shared" si="27"/>
        <v>0</v>
      </c>
      <c r="AE59" s="91">
        <f t="shared" si="27"/>
        <v>0</v>
      </c>
    </row>
    <row r="60" spans="1:31" ht="16.649999999999999" customHeight="1" x14ac:dyDescent="0.25">
      <c r="A60" s="92" t="s">
        <v>133</v>
      </c>
      <c r="C60" s="93" t="e">
        <f>+[1]BalSht!C47</f>
        <v>#REF!</v>
      </c>
      <c r="E60" s="93" t="e">
        <f>+[1]BalSht!E47</f>
        <v>#REF!</v>
      </c>
      <c r="O60" s="93">
        <v>957709000</v>
      </c>
      <c r="P60" s="93">
        <v>932057000</v>
      </c>
      <c r="Q60" s="93">
        <v>951876000</v>
      </c>
      <c r="R60" s="93">
        <v>949135000</v>
      </c>
      <c r="S60" s="93">
        <v>946490000</v>
      </c>
      <c r="U60" s="93">
        <v>918531000</v>
      </c>
      <c r="V60" s="93">
        <v>926076000</v>
      </c>
      <c r="W60" s="93">
        <v>911609000</v>
      </c>
      <c r="X60" s="93">
        <v>960069000</v>
      </c>
      <c r="Y60" s="93">
        <v>1070414000</v>
      </c>
      <c r="Z60" s="93">
        <v>1072947000</v>
      </c>
      <c r="AA60" s="94">
        <v>1080596000</v>
      </c>
      <c r="AB60" s="93">
        <v>1080683000</v>
      </c>
      <c r="AC60" s="94">
        <v>1058501000</v>
      </c>
      <c r="AD60" s="94">
        <v>1050862000</v>
      </c>
      <c r="AE60" s="94">
        <v>1058289000</v>
      </c>
    </row>
    <row r="61" spans="1:31" ht="16.649999999999999" customHeight="1" x14ac:dyDescent="0.25">
      <c r="A61" s="89" t="s">
        <v>130</v>
      </c>
      <c r="C61" s="90" t="e">
        <f>+C60-C47</f>
        <v>#REF!</v>
      </c>
      <c r="E61" s="90" t="e">
        <f>+E60-E47</f>
        <v>#REF!</v>
      </c>
      <c r="N61" s="90">
        <f t="shared" ref="N61:S61" si="28">+N60-N47</f>
        <v>0</v>
      </c>
      <c r="O61" s="90">
        <f t="shared" si="28"/>
        <v>2000</v>
      </c>
      <c r="P61" s="90">
        <f t="shared" si="28"/>
        <v>0</v>
      </c>
      <c r="Q61" s="90">
        <f t="shared" si="28"/>
        <v>0</v>
      </c>
      <c r="R61" s="90">
        <f t="shared" si="28"/>
        <v>0</v>
      </c>
      <c r="S61" s="90">
        <f t="shared" si="28"/>
        <v>0</v>
      </c>
      <c r="T61" s="106"/>
      <c r="U61" s="90">
        <f t="shared" ref="U61:AE61" si="29">+U60-U47</f>
        <v>0</v>
      </c>
      <c r="V61" s="90">
        <f t="shared" si="29"/>
        <v>0</v>
      </c>
      <c r="W61" s="90">
        <f t="shared" si="29"/>
        <v>0</v>
      </c>
      <c r="X61" s="90">
        <f t="shared" si="29"/>
        <v>0</v>
      </c>
      <c r="Y61" s="90">
        <f t="shared" si="29"/>
        <v>0</v>
      </c>
      <c r="Z61" s="90">
        <f t="shared" si="29"/>
        <v>0</v>
      </c>
      <c r="AA61" s="91">
        <f t="shared" si="29"/>
        <v>0</v>
      </c>
      <c r="AB61" s="90">
        <f t="shared" si="29"/>
        <v>0</v>
      </c>
      <c r="AC61" s="91">
        <f t="shared" si="29"/>
        <v>0</v>
      </c>
      <c r="AD61" s="91">
        <f t="shared" si="29"/>
        <v>0</v>
      </c>
      <c r="AE61" s="91">
        <f t="shared" si="29"/>
        <v>0</v>
      </c>
    </row>
    <row r="62" spans="1:31" ht="15.75" customHeight="1" x14ac:dyDescent="0.25">
      <c r="A62" s="89" t="s">
        <v>134</v>
      </c>
      <c r="C62" s="90">
        <f>+C26-C48</f>
        <v>0</v>
      </c>
      <c r="E62" s="90">
        <f>+E26-E48</f>
        <v>0</v>
      </c>
      <c r="N62" s="90">
        <f t="shared" ref="N62:S62" si="30">+N26-N48</f>
        <v>0</v>
      </c>
      <c r="O62" s="90">
        <f t="shared" si="30"/>
        <v>0</v>
      </c>
      <c r="P62" s="90">
        <f t="shared" si="30"/>
        <v>0</v>
      </c>
      <c r="Q62" s="90">
        <f t="shared" si="30"/>
        <v>0</v>
      </c>
      <c r="R62" s="90">
        <f t="shared" si="30"/>
        <v>0</v>
      </c>
      <c r="S62" s="90">
        <f t="shared" si="30"/>
        <v>0</v>
      </c>
      <c r="T62" s="106"/>
      <c r="U62" s="90">
        <f t="shared" ref="U62:AE62" si="31">+U26-U48</f>
        <v>0</v>
      </c>
      <c r="V62" s="90">
        <f t="shared" si="31"/>
        <v>0</v>
      </c>
      <c r="W62" s="90">
        <f t="shared" si="31"/>
        <v>0</v>
      </c>
      <c r="X62" s="90">
        <f t="shared" si="31"/>
        <v>0</v>
      </c>
      <c r="Y62" s="90">
        <f t="shared" si="31"/>
        <v>0</v>
      </c>
      <c r="Z62" s="90">
        <f t="shared" si="31"/>
        <v>0</v>
      </c>
      <c r="AA62" s="91">
        <f t="shared" si="31"/>
        <v>0</v>
      </c>
      <c r="AB62" s="90">
        <f t="shared" si="31"/>
        <v>0</v>
      </c>
      <c r="AC62" s="91">
        <f t="shared" si="31"/>
        <v>0</v>
      </c>
      <c r="AD62" s="91">
        <f t="shared" si="31"/>
        <v>0</v>
      </c>
      <c r="AE62" s="91">
        <f t="shared" si="31"/>
        <v>0</v>
      </c>
    </row>
    <row r="63" spans="1:31" ht="16.649999999999999" customHeight="1" x14ac:dyDescent="0.25"/>
    <row r="64" spans="1:31" ht="16.649999999999999" customHeight="1" x14ac:dyDescent="0.3">
      <c r="L64" s="56" t="s">
        <v>82</v>
      </c>
    </row>
    <row r="65" spans="1:31" ht="25.75" customHeight="1" x14ac:dyDescent="0.3">
      <c r="A65" s="95" t="s">
        <v>135</v>
      </c>
      <c r="C65" s="59">
        <f>+C7</f>
        <v>45657</v>
      </c>
      <c r="E65" s="59">
        <f>+E7</f>
        <v>45382</v>
      </c>
      <c r="L65" s="62">
        <v>1</v>
      </c>
      <c r="N65" s="96">
        <f>+N7</f>
        <v>45747</v>
      </c>
      <c r="R65" s="96">
        <f t="shared" ref="R65:AE65" si="32">+R7</f>
        <v>45382</v>
      </c>
      <c r="S65" s="96">
        <f t="shared" si="32"/>
        <v>45291</v>
      </c>
      <c r="T65" s="96">
        <f t="shared" si="32"/>
        <v>45199</v>
      </c>
      <c r="U65" s="96">
        <f t="shared" si="32"/>
        <v>45107</v>
      </c>
      <c r="V65" s="96">
        <f t="shared" si="32"/>
        <v>45016</v>
      </c>
      <c r="W65" s="96">
        <f t="shared" si="32"/>
        <v>44926</v>
      </c>
      <c r="X65" s="96">
        <f t="shared" si="32"/>
        <v>44834</v>
      </c>
      <c r="Y65" s="96">
        <f t="shared" si="32"/>
        <v>44561</v>
      </c>
      <c r="Z65" s="96">
        <f t="shared" si="32"/>
        <v>44469</v>
      </c>
      <c r="AA65" s="96">
        <f t="shared" si="32"/>
        <v>44377</v>
      </c>
      <c r="AB65" s="96">
        <f t="shared" si="32"/>
        <v>44286</v>
      </c>
      <c r="AC65" s="96" t="str">
        <f t="shared" si="32"/>
        <v>12/31/20</v>
      </c>
      <c r="AD65" s="96" t="str">
        <f t="shared" si="32"/>
        <v>9/30/20</v>
      </c>
      <c r="AE65" s="96" t="str">
        <f t="shared" si="32"/>
        <v>6/30/20</v>
      </c>
    </row>
    <row r="66" spans="1:31" ht="16.649999999999999" customHeight="1" x14ac:dyDescent="0.25">
      <c r="A66" s="50" t="s">
        <v>117</v>
      </c>
      <c r="C66" s="50"/>
      <c r="E66" s="50"/>
      <c r="L66" s="62">
        <f t="shared" ref="L66:L76" si="33">+L65+1</f>
        <v>2</v>
      </c>
      <c r="N66" s="50"/>
      <c r="O66" s="50"/>
      <c r="P66" s="50"/>
      <c r="Q66" s="50"/>
      <c r="R66" s="50"/>
      <c r="S66" s="102"/>
      <c r="T66" s="102"/>
      <c r="U66" s="102"/>
      <c r="V66" s="102"/>
      <c r="W66" s="102"/>
      <c r="X66" s="102"/>
      <c r="Y66" s="102"/>
      <c r="Z66" s="102"/>
      <c r="AA66" s="102"/>
      <c r="AB66" s="102"/>
      <c r="AC66" s="102"/>
      <c r="AD66" s="102"/>
      <c r="AE66" s="102"/>
    </row>
    <row r="67" spans="1:31" ht="16.649999999999999" customHeight="1" x14ac:dyDescent="0.25">
      <c r="A67" s="97" t="s">
        <v>136</v>
      </c>
      <c r="C67" s="1" t="e">
        <f>HLOOKUP(C$7,$N$65:$AE$76,$L67,FALSE)</f>
        <v>#N/A</v>
      </c>
      <c r="E67" s="98">
        <f>HLOOKUP(E$7,$N$65:$AE$76,$L67,FALSE)</f>
        <v>1</v>
      </c>
      <c r="L67" s="62">
        <f t="shared" si="33"/>
        <v>3</v>
      </c>
      <c r="R67" s="98">
        <v>1</v>
      </c>
      <c r="V67" s="98">
        <v>1</v>
      </c>
    </row>
    <row r="68" spans="1:31" ht="16.649999999999999" customHeight="1" x14ac:dyDescent="0.25">
      <c r="A68" s="97" t="s">
        <v>137</v>
      </c>
      <c r="C68" s="1" t="e">
        <f>HLOOKUP(C$7,$N$65:$AE$76,$L68,FALSE)</f>
        <v>#N/A</v>
      </c>
      <c r="E68" s="99">
        <f>HLOOKUP(E$7,$N$65:$AE$76,$L68,FALSE)</f>
        <v>1000000</v>
      </c>
      <c r="L68" s="62">
        <f t="shared" si="33"/>
        <v>4</v>
      </c>
      <c r="R68" s="99">
        <v>1000000</v>
      </c>
      <c r="V68" s="99">
        <v>1000000</v>
      </c>
    </row>
    <row r="69" spans="1:31" ht="16.649999999999999" customHeight="1" x14ac:dyDescent="0.25">
      <c r="A69" s="97" t="s">
        <v>138</v>
      </c>
      <c r="C69" s="1" t="e">
        <f>HLOOKUP(C$7,$N$65:$AE$76,$L69,FALSE)</f>
        <v>#N/A</v>
      </c>
      <c r="E69" s="99">
        <f>HLOOKUP(E$7,$N$65:$AE$76,$L69,FALSE)</f>
        <v>0</v>
      </c>
      <c r="L69" s="62">
        <f t="shared" si="33"/>
        <v>5</v>
      </c>
      <c r="R69" s="99">
        <v>0</v>
      </c>
      <c r="V69" s="99">
        <v>0</v>
      </c>
    </row>
    <row r="70" spans="1:31" ht="16.649999999999999" customHeight="1" x14ac:dyDescent="0.25">
      <c r="A70" s="1" t="s">
        <v>118</v>
      </c>
      <c r="L70" s="62">
        <f t="shared" si="33"/>
        <v>6</v>
      </c>
    </row>
    <row r="71" spans="1:31" ht="16.649999999999999" customHeight="1" x14ac:dyDescent="0.25">
      <c r="A71" s="97" t="s">
        <v>136</v>
      </c>
      <c r="C71" s="1" t="e">
        <f>HLOOKUP(C$7,$N$65:$AE$76,$L71,FALSE)</f>
        <v>#N/A</v>
      </c>
      <c r="E71" s="98">
        <f>HLOOKUP(E$7,$N$65:$AE$76,$L71,FALSE)</f>
        <v>0.1</v>
      </c>
      <c r="L71" s="62">
        <f t="shared" si="33"/>
        <v>7</v>
      </c>
      <c r="R71" s="98">
        <v>0.1</v>
      </c>
      <c r="V71" s="98">
        <v>0.1</v>
      </c>
    </row>
    <row r="72" spans="1:31" ht="16.649999999999999" customHeight="1" x14ac:dyDescent="0.25">
      <c r="A72" s="97" t="s">
        <v>137</v>
      </c>
      <c r="C72" s="1" t="e">
        <f>HLOOKUP(C$7,$N$65:$AE$76,$L72,FALSE)</f>
        <v>#N/A</v>
      </c>
      <c r="E72" s="99">
        <f>HLOOKUP(E$7,$N$65:$AE$76,$L72,FALSE)</f>
        <v>200000000</v>
      </c>
      <c r="L72" s="62">
        <f t="shared" si="33"/>
        <v>8</v>
      </c>
      <c r="R72" s="99">
        <v>200000000</v>
      </c>
      <c r="V72" s="99">
        <v>200000000</v>
      </c>
    </row>
    <row r="73" spans="1:31" ht="16.649999999999999" customHeight="1" x14ac:dyDescent="0.25">
      <c r="A73" s="97" t="s">
        <v>138</v>
      </c>
      <c r="C73" s="1" t="e">
        <f>HLOOKUP(C$7,$N$65:$AE$76,$L73,FALSE)</f>
        <v>#N/A</v>
      </c>
      <c r="E73" s="99" t="e">
        <f>HLOOKUP(E$7,$N$65:$AE$76,$L73,FALSE)</f>
        <v>#REF!</v>
      </c>
      <c r="L73" s="62">
        <f t="shared" si="33"/>
        <v>9</v>
      </c>
      <c r="R73" s="99" t="e">
        <f>+'[2]FY24 Statement of Equity'!E86</f>
        <v>#REF!</v>
      </c>
      <c r="V73" s="99" t="e">
        <f>+'[3]FY23 Statement of Equity'!E85</f>
        <v>#REF!</v>
      </c>
    </row>
    <row r="74" spans="1:31" ht="16.649999999999999" customHeight="1" x14ac:dyDescent="0.25">
      <c r="L74" s="62">
        <f t="shared" si="33"/>
        <v>10</v>
      </c>
    </row>
    <row r="75" spans="1:31" ht="16.649999999999999" customHeight="1" x14ac:dyDescent="0.25">
      <c r="A75" s="1" t="s">
        <v>139</v>
      </c>
      <c r="L75" s="62">
        <f t="shared" si="33"/>
        <v>11</v>
      </c>
    </row>
    <row r="76" spans="1:31" ht="16.649999999999999" customHeight="1" x14ac:dyDescent="0.25">
      <c r="A76" s="97" t="s">
        <v>140</v>
      </c>
      <c r="C76" s="1" t="e">
        <f>HLOOKUP(C$7,$N$65:$AE$76,$L76,FALSE)</f>
        <v>#N/A</v>
      </c>
      <c r="E76" s="99" t="e">
        <f>HLOOKUP(E$7,$N$65:$AE$76,$L76,FALSE)</f>
        <v>#REF!</v>
      </c>
      <c r="L76" s="62">
        <f t="shared" si="33"/>
        <v>12</v>
      </c>
      <c r="R76" s="99" t="e">
        <f>+'[2]FY24 Statement of Equity'!O86</f>
        <v>#REF!</v>
      </c>
      <c r="V76" s="99" t="e">
        <f>+'[3]FY23 Statement of Equity'!O85</f>
        <v>#REF!</v>
      </c>
    </row>
    <row r="77" spans="1:31" ht="16.649999999999999" customHeight="1" x14ac:dyDescent="0.25"/>
    <row r="78" spans="1:31" ht="16.649999999999999" customHeight="1" x14ac:dyDescent="0.25"/>
    <row r="79" spans="1:31" ht="16.649999999999999" customHeight="1" x14ac:dyDescent="0.25"/>
    <row r="80" spans="1:31"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sheetData>
  <mergeCells count="8">
    <mergeCell ref="Y1:AA1"/>
    <mergeCell ref="AD53:AE53"/>
    <mergeCell ref="C53:E53"/>
    <mergeCell ref="N53:R53"/>
    <mergeCell ref="A2:H2"/>
    <mergeCell ref="A3:H3"/>
    <mergeCell ref="A4:H4"/>
    <mergeCell ref="N4:R4"/>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T104"/>
  <sheetViews>
    <sheetView workbookViewId="0">
      <pane xSplit="3" ySplit="7" topLeftCell="D8" activePane="bottomRight" state="frozen"/>
      <selection pane="topRight"/>
      <selection pane="bottomLeft"/>
      <selection pane="bottomRight"/>
    </sheetView>
  </sheetViews>
  <sheetFormatPr defaultColWidth="13.08984375" defaultRowHeight="12.5" x14ac:dyDescent="0.25"/>
  <cols>
    <col min="1" max="3" width="20.453125" customWidth="1"/>
    <col min="4" max="4" width="0.90625" customWidth="1"/>
    <col min="5" max="5" width="11.81640625" customWidth="1"/>
    <col min="6" max="6" width="0.26953125" customWidth="1"/>
    <col min="7" max="7" width="11.81640625" customWidth="1"/>
    <col min="8" max="8" width="0.26953125" customWidth="1"/>
    <col min="9" max="9" width="11.81640625" customWidth="1"/>
    <col min="10" max="10" width="0.90625" customWidth="1"/>
    <col min="11" max="11" width="12" customWidth="1"/>
    <col min="12" max="12" width="0.6328125" customWidth="1"/>
    <col min="13" max="13" width="12" customWidth="1"/>
    <col min="14" max="14" width="0.26953125" customWidth="1"/>
    <col min="15" max="15" width="12.26953125" customWidth="1"/>
    <col min="16" max="16" width="1.7265625" customWidth="1"/>
    <col min="17" max="17" width="11" customWidth="1"/>
    <col min="18" max="18" width="0.453125" customWidth="1"/>
    <col min="19" max="19" width="11" customWidth="1"/>
    <col min="20" max="20" width="0.453125" customWidth="1"/>
    <col min="21" max="21" width="11" customWidth="1"/>
    <col min="22" max="22" width="2.1796875" customWidth="1"/>
    <col min="23" max="23" width="9.90625" customWidth="1"/>
    <col min="24" max="24" width="1.26953125" customWidth="1"/>
    <col min="25" max="25" width="9.90625" customWidth="1"/>
    <col min="26" max="26" width="1.26953125" customWidth="1"/>
    <col min="27" max="27" width="8.453125" customWidth="1"/>
    <col min="28" max="28" width="2.1796875" customWidth="1"/>
    <col min="29" max="29" width="10.36328125" customWidth="1"/>
    <col min="30" max="30" width="0.90625" customWidth="1"/>
    <col min="31" max="31" width="10.36328125" customWidth="1"/>
    <col min="32" max="32" width="0.90625" customWidth="1"/>
    <col min="33" max="33" width="10.36328125" customWidth="1"/>
    <col min="34" max="34" width="1.54296875" customWidth="1"/>
    <col min="35" max="35" width="11.81640625" customWidth="1"/>
    <col min="36" max="36" width="0.6328125" customWidth="1"/>
    <col min="37" max="37" width="11.81640625" customWidth="1"/>
    <col min="38" max="38" width="0.6328125" customWidth="1"/>
    <col min="39" max="39" width="11.81640625" customWidth="1"/>
    <col min="40" max="40" width="0.26953125" customWidth="1"/>
    <col min="41" max="42" width="11.81640625" customWidth="1"/>
    <col min="43" max="43" width="0.90625" customWidth="1"/>
    <col min="44" max="45" width="11" customWidth="1"/>
    <col min="46" max="47" width="0.90625" customWidth="1"/>
    <col min="48" max="48" width="9.08984375" customWidth="1"/>
    <col min="49" max="49" width="1.08984375" customWidth="1"/>
    <col min="50" max="50" width="1.54296875" customWidth="1"/>
    <col min="51" max="51" width="1.26953125" customWidth="1"/>
    <col min="52" max="55" width="9.08984375" customWidth="1"/>
    <col min="56" max="56" width="10.54296875" customWidth="1"/>
    <col min="57" max="57" width="0.90625" customWidth="1"/>
    <col min="58" max="61" width="9.08984375" customWidth="1"/>
    <col min="62" max="62" width="10.54296875" customWidth="1"/>
    <col min="63" max="63" width="0.90625" customWidth="1"/>
    <col min="64" max="67" width="9.26953125" customWidth="1"/>
    <col min="68" max="68" width="10.7265625" customWidth="1"/>
    <col min="69" max="69" width="1.08984375" customWidth="1"/>
    <col min="70" max="74" width="10.7265625" customWidth="1"/>
    <col min="75" max="75" width="0.90625" customWidth="1"/>
    <col min="76" max="80" width="10.54296875" customWidth="1"/>
    <col min="81" max="81" width="0.90625" customWidth="1"/>
    <col min="82" max="86" width="10.36328125" customWidth="1"/>
    <col min="87" max="87" width="1.08984375" customWidth="1"/>
    <col min="88" max="92" width="9.08984375" customWidth="1"/>
    <col min="93" max="93" width="0.90625" customWidth="1"/>
    <col min="94" max="98" width="10.7265625" customWidth="1"/>
    <col min="99" max="99" width="0.90625" customWidth="1"/>
    <col min="100" max="100" width="10.7265625" customWidth="1"/>
    <col min="101" max="101" width="1.26953125" customWidth="1"/>
    <col min="102" max="102" width="2.54296875" customWidth="1"/>
    <col min="103" max="103" width="1.90625" customWidth="1"/>
    <col min="104" max="108" width="10.08984375" customWidth="1"/>
    <col min="109" max="109" width="0.90625" customWidth="1"/>
    <col min="110" max="114" width="10.08984375" customWidth="1"/>
    <col min="115" max="115" width="1.54296875" customWidth="1"/>
    <col min="116" max="120" width="9.90625" customWidth="1"/>
    <col min="121" max="121" width="1.26953125" customWidth="1"/>
    <col min="122" max="126" width="9.26953125" customWidth="1"/>
    <col min="127" max="127" width="1.54296875" customWidth="1"/>
    <col min="128" max="132" width="9.7265625" customWidth="1"/>
    <col min="133" max="133" width="1.7265625" customWidth="1"/>
    <col min="134" max="138" width="11.81640625" customWidth="1"/>
    <col min="139" max="139" width="0.90625" customWidth="1"/>
    <col min="140" max="144" width="10.36328125" customWidth="1"/>
    <col min="145" max="145" width="0.6328125" customWidth="1"/>
    <col min="146" max="150" width="10.7265625" customWidth="1"/>
  </cols>
  <sheetData>
    <row r="1" spans="1:150" ht="15.75" customHeight="1" x14ac:dyDescent="0.25">
      <c r="G1" s="107" t="s">
        <v>141</v>
      </c>
      <c r="I1" s="107" t="s">
        <v>141</v>
      </c>
      <c r="M1" s="107" t="s">
        <v>141</v>
      </c>
      <c r="O1" s="107" t="s">
        <v>141</v>
      </c>
      <c r="W1" t="e">
        <f>#VALUE! + N("=IF(AND((+G12-I12)*100&lt;1,(+G12-I12)*100&gt;-1),(+G12-I12)*100&amp; pt,(+G12-I12)*100&amp; pts")</f>
        <v>#VALUE!</v>
      </c>
      <c r="AX1" s="166"/>
      <c r="BF1" s="108" t="s">
        <v>84</v>
      </c>
      <c r="BG1" s="108" t="s">
        <v>84</v>
      </c>
      <c r="BH1" s="108" t="s">
        <v>84</v>
      </c>
      <c r="BI1" s="108" t="s">
        <v>84</v>
      </c>
      <c r="BJ1" s="108" t="s">
        <v>84</v>
      </c>
      <c r="BL1" s="108" t="s">
        <v>84</v>
      </c>
      <c r="BM1" s="108" t="s">
        <v>84</v>
      </c>
      <c r="BN1" s="108" t="s">
        <v>84</v>
      </c>
      <c r="BO1" s="108" t="s">
        <v>84</v>
      </c>
      <c r="BP1" s="108" t="s">
        <v>84</v>
      </c>
      <c r="BR1" s="108" t="s">
        <v>84</v>
      </c>
      <c r="BS1" s="108" t="s">
        <v>84</v>
      </c>
      <c r="BT1" s="108" t="s">
        <v>84</v>
      </c>
      <c r="BU1" s="108" t="s">
        <v>84</v>
      </c>
      <c r="BV1" s="108" t="s">
        <v>84</v>
      </c>
      <c r="BX1" s="108" t="s">
        <v>84</v>
      </c>
      <c r="BY1" s="108" t="s">
        <v>84</v>
      </c>
      <c r="BZ1" s="108" t="s">
        <v>84</v>
      </c>
      <c r="CA1" s="108" t="s">
        <v>84</v>
      </c>
      <c r="CB1" s="108" t="s">
        <v>84</v>
      </c>
      <c r="CP1" s="108" t="s">
        <v>84</v>
      </c>
      <c r="CQ1" s="108" t="s">
        <v>84</v>
      </c>
      <c r="CR1" s="108" t="s">
        <v>84</v>
      </c>
      <c r="CS1" s="108" t="s">
        <v>84</v>
      </c>
      <c r="CT1" s="108" t="s">
        <v>84</v>
      </c>
      <c r="CV1" s="108" t="s">
        <v>84</v>
      </c>
      <c r="CX1" s="167"/>
      <c r="CZ1" s="108" t="s">
        <v>84</v>
      </c>
      <c r="DA1" s="108" t="s">
        <v>84</v>
      </c>
      <c r="DB1" s="108" t="s">
        <v>84</v>
      </c>
      <c r="DC1" s="108" t="s">
        <v>84</v>
      </c>
      <c r="DD1" s="108" t="s">
        <v>84</v>
      </c>
      <c r="DF1" s="108" t="s">
        <v>84</v>
      </c>
      <c r="DG1" s="108" t="s">
        <v>84</v>
      </c>
      <c r="DH1" s="108" t="s">
        <v>84</v>
      </c>
      <c r="DI1" s="108" t="s">
        <v>84</v>
      </c>
      <c r="DJ1" s="108" t="s">
        <v>84</v>
      </c>
      <c r="DL1" s="108" t="s">
        <v>84</v>
      </c>
      <c r="DM1" s="108" t="s">
        <v>84</v>
      </c>
      <c r="DN1" s="108" t="s">
        <v>84</v>
      </c>
      <c r="DO1" s="108" t="s">
        <v>84</v>
      </c>
      <c r="DP1" s="108" t="s">
        <v>84</v>
      </c>
      <c r="DR1" s="108" t="s">
        <v>84</v>
      </c>
      <c r="DS1" s="108" t="s">
        <v>84</v>
      </c>
      <c r="DT1" s="108" t="s">
        <v>84</v>
      </c>
      <c r="DU1" s="108" t="s">
        <v>84</v>
      </c>
      <c r="DV1" s="108" t="s">
        <v>84</v>
      </c>
      <c r="DX1" s="108" t="s">
        <v>84</v>
      </c>
      <c r="DY1" s="108" t="s">
        <v>84</v>
      </c>
      <c r="DZ1" s="108" t="s">
        <v>84</v>
      </c>
      <c r="EA1" s="108" t="s">
        <v>84</v>
      </c>
      <c r="EB1" s="108" t="s">
        <v>84</v>
      </c>
      <c r="ED1" s="108" t="s">
        <v>84</v>
      </c>
      <c r="EE1" s="108" t="s">
        <v>84</v>
      </c>
      <c r="EF1" s="108" t="s">
        <v>84</v>
      </c>
      <c r="EG1" s="108" t="s">
        <v>84</v>
      </c>
      <c r="EH1" s="108" t="s">
        <v>84</v>
      </c>
      <c r="EJ1" s="108" t="s">
        <v>84</v>
      </c>
      <c r="EK1" s="108" t="s">
        <v>84</v>
      </c>
      <c r="EL1" s="108" t="s">
        <v>84</v>
      </c>
      <c r="EM1" s="108" t="s">
        <v>84</v>
      </c>
      <c r="EN1" s="108" t="s">
        <v>84</v>
      </c>
      <c r="ET1" s="108" t="s">
        <v>84</v>
      </c>
    </row>
    <row r="2" spans="1:150" ht="15.75" customHeight="1" x14ac:dyDescent="0.25">
      <c r="A2" s="378" t="s">
        <v>72</v>
      </c>
      <c r="B2" s="362"/>
      <c r="C2" s="362"/>
      <c r="E2" s="382" t="s">
        <v>142</v>
      </c>
      <c r="F2" s="382"/>
      <c r="G2" s="382"/>
      <c r="H2" s="382"/>
      <c r="I2" s="382"/>
      <c r="K2" s="382" t="s">
        <v>143</v>
      </c>
      <c r="L2" s="382"/>
      <c r="M2" s="382"/>
      <c r="N2" s="382"/>
      <c r="O2" s="382"/>
      <c r="Q2" s="382" t="s">
        <v>142</v>
      </c>
      <c r="R2" s="382"/>
      <c r="S2" s="382"/>
      <c r="T2" s="382"/>
      <c r="U2" s="382"/>
      <c r="W2" s="382" t="s">
        <v>142</v>
      </c>
      <c r="X2" s="382"/>
      <c r="Y2" s="382"/>
      <c r="Z2" s="382"/>
      <c r="AA2" s="382"/>
      <c r="AB2" s="168"/>
      <c r="AC2" s="382" t="s">
        <v>143</v>
      </c>
      <c r="AD2" s="382"/>
      <c r="AE2" s="382"/>
      <c r="AF2" s="382"/>
      <c r="AG2" s="382"/>
      <c r="AI2" s="382" t="s">
        <v>143</v>
      </c>
      <c r="AJ2" s="382"/>
      <c r="AK2" s="382"/>
      <c r="AL2" s="382"/>
      <c r="AM2" s="382"/>
      <c r="AX2" s="169"/>
      <c r="CX2" s="169"/>
    </row>
    <row r="3" spans="1:150" ht="15.75" customHeight="1" x14ac:dyDescent="0.25">
      <c r="A3" s="378" t="s">
        <v>144</v>
      </c>
      <c r="B3" s="362"/>
      <c r="C3" s="362"/>
      <c r="E3" s="102"/>
      <c r="F3" s="102"/>
      <c r="G3" s="102"/>
      <c r="H3" s="102"/>
      <c r="I3" s="102"/>
      <c r="K3" s="102"/>
      <c r="L3" s="102"/>
      <c r="M3" s="102"/>
      <c r="N3" s="102"/>
      <c r="O3" s="102"/>
      <c r="Q3" s="102"/>
      <c r="R3" s="102"/>
      <c r="S3" s="102"/>
      <c r="T3" s="102"/>
      <c r="U3" s="102"/>
      <c r="W3" s="102"/>
      <c r="X3" s="102"/>
      <c r="Y3" s="102"/>
      <c r="Z3" s="102"/>
      <c r="AA3" s="102"/>
      <c r="AC3" s="102"/>
      <c r="AD3" s="102"/>
      <c r="AE3" s="102"/>
      <c r="AF3" s="102"/>
      <c r="AG3" s="102"/>
      <c r="AI3" s="102"/>
      <c r="AJ3" s="102"/>
      <c r="AK3" s="102"/>
      <c r="AL3" s="102"/>
      <c r="AM3" s="102"/>
      <c r="AX3" s="169"/>
      <c r="CX3" s="169"/>
    </row>
    <row r="4" spans="1:150" ht="15.75" customHeight="1" x14ac:dyDescent="0.25">
      <c r="A4" s="378" t="s">
        <v>145</v>
      </c>
      <c r="B4" s="362"/>
      <c r="C4" s="362"/>
      <c r="E4" s="380" t="s">
        <v>146</v>
      </c>
      <c r="F4" s="362"/>
      <c r="G4" s="362"/>
      <c r="H4" s="362"/>
      <c r="I4" s="362"/>
      <c r="K4" s="380" t="s">
        <v>146</v>
      </c>
      <c r="L4" s="362"/>
      <c r="M4" s="362"/>
      <c r="N4" s="362"/>
      <c r="O4" s="362"/>
      <c r="Q4" s="380" t="s">
        <v>146</v>
      </c>
      <c r="R4" s="362"/>
      <c r="S4" s="362"/>
      <c r="T4" s="362"/>
      <c r="U4" s="362"/>
      <c r="W4" s="380" t="s">
        <v>146</v>
      </c>
      <c r="X4" s="362"/>
      <c r="Y4" s="362"/>
      <c r="Z4" s="362"/>
      <c r="AA4" s="362"/>
      <c r="AC4" s="380" t="s">
        <v>146</v>
      </c>
      <c r="AD4" s="362"/>
      <c r="AE4" s="362"/>
      <c r="AF4" s="362"/>
      <c r="AG4" s="362"/>
      <c r="AI4" s="380" t="s">
        <v>146</v>
      </c>
      <c r="AJ4" s="362"/>
      <c r="AK4" s="362"/>
      <c r="AL4" s="362"/>
      <c r="AM4" s="362"/>
      <c r="AX4" s="169"/>
      <c r="CX4" s="169"/>
      <c r="CZ4" s="111" t="s">
        <v>146</v>
      </c>
      <c r="DF4" s="111" t="s">
        <v>146</v>
      </c>
      <c r="DL4" s="111" t="s">
        <v>146</v>
      </c>
      <c r="DR4" s="111" t="s">
        <v>146</v>
      </c>
      <c r="DX4" s="111" t="s">
        <v>146</v>
      </c>
      <c r="ED4" s="111" t="s">
        <v>146</v>
      </c>
      <c r="EJ4" s="111" t="s">
        <v>146</v>
      </c>
      <c r="EP4" s="111" t="s">
        <v>146</v>
      </c>
    </row>
    <row r="5" spans="1:150" ht="15.75" customHeight="1" x14ac:dyDescent="0.25">
      <c r="A5" s="378" t="s">
        <v>147</v>
      </c>
      <c r="B5" s="362"/>
      <c r="C5" s="362"/>
      <c r="E5" s="381" t="s">
        <v>148</v>
      </c>
      <c r="F5" s="381"/>
      <c r="G5" s="381"/>
      <c r="H5" s="381"/>
      <c r="I5" s="381"/>
      <c r="K5" s="381" t="s">
        <v>148</v>
      </c>
      <c r="L5" s="381"/>
      <c r="M5" s="381"/>
      <c r="N5" s="381"/>
      <c r="O5" s="381"/>
      <c r="Q5" s="381" t="s">
        <v>149</v>
      </c>
      <c r="R5" s="381"/>
      <c r="S5" s="381"/>
      <c r="T5" s="381"/>
      <c r="U5" s="381"/>
      <c r="W5" s="381" t="s">
        <v>150</v>
      </c>
      <c r="X5" s="381"/>
      <c r="Y5" s="381"/>
      <c r="Z5" s="381"/>
      <c r="AA5" s="381"/>
      <c r="AC5" s="381" t="s">
        <v>151</v>
      </c>
      <c r="AD5" s="381"/>
      <c r="AE5" s="381"/>
      <c r="AF5" s="381"/>
      <c r="AG5" s="381"/>
      <c r="AI5" s="381" t="s">
        <v>151</v>
      </c>
      <c r="AJ5" s="381"/>
      <c r="AK5" s="381"/>
      <c r="AL5" s="381"/>
      <c r="AM5" s="381"/>
      <c r="AO5" s="383" t="s">
        <v>152</v>
      </c>
      <c r="AP5" s="362"/>
      <c r="AR5" s="383" t="s">
        <v>153</v>
      </c>
      <c r="AS5" s="362"/>
      <c r="AX5" s="169"/>
      <c r="CX5" s="169"/>
    </row>
    <row r="6" spans="1:150" ht="23.25" customHeight="1" x14ac:dyDescent="0.25">
      <c r="A6" s="379" t="s">
        <v>154</v>
      </c>
      <c r="B6" s="379"/>
      <c r="C6" s="379"/>
      <c r="E6" s="380" t="s">
        <v>155</v>
      </c>
      <c r="F6" s="362"/>
      <c r="G6" s="362"/>
      <c r="H6" s="362"/>
      <c r="I6" s="362"/>
      <c r="K6" s="380" t="s">
        <v>156</v>
      </c>
      <c r="L6" s="362"/>
      <c r="M6" s="362"/>
      <c r="N6" s="362"/>
      <c r="O6" s="362"/>
      <c r="Q6" s="380" t="s">
        <v>155</v>
      </c>
      <c r="R6" s="362"/>
      <c r="S6" s="362"/>
      <c r="T6" s="362"/>
      <c r="U6" s="362"/>
      <c r="W6" s="380" t="s">
        <v>155</v>
      </c>
      <c r="X6" s="362"/>
      <c r="Y6" s="362"/>
      <c r="Z6" s="362"/>
      <c r="AA6" s="362"/>
      <c r="AC6" s="380" t="s">
        <v>156</v>
      </c>
      <c r="AD6" s="362"/>
      <c r="AE6" s="362"/>
      <c r="AF6" s="362"/>
      <c r="AG6" s="362"/>
      <c r="AI6" s="380" t="s">
        <v>156</v>
      </c>
      <c r="AJ6" s="362"/>
      <c r="AK6" s="362"/>
      <c r="AL6" s="362"/>
      <c r="AM6" s="362"/>
      <c r="AO6" s="380" t="str">
        <f>+Dates!C7</f>
        <v>FY2025 to FY2024</v>
      </c>
      <c r="AP6" s="362"/>
      <c r="AR6" s="380" t="str">
        <f>+Dates!C7</f>
        <v>FY2025 to FY2024</v>
      </c>
      <c r="AS6" s="362"/>
      <c r="AX6" s="167"/>
      <c r="BA6" s="110"/>
      <c r="BB6" s="113" t="s">
        <v>157</v>
      </c>
      <c r="BD6" s="114" t="s">
        <v>158</v>
      </c>
      <c r="BJ6" s="114" t="s">
        <v>158</v>
      </c>
      <c r="BP6" s="114" t="s">
        <v>158</v>
      </c>
      <c r="BV6" s="114" t="s">
        <v>158</v>
      </c>
      <c r="CB6" s="114" t="s">
        <v>158</v>
      </c>
      <c r="CX6" s="169"/>
      <c r="CZ6" s="380" t="s">
        <v>159</v>
      </c>
      <c r="DA6" s="362"/>
      <c r="DB6" s="362"/>
      <c r="DC6" s="362"/>
      <c r="DD6" s="362"/>
      <c r="DF6" s="380" t="s">
        <v>160</v>
      </c>
      <c r="DG6" s="362"/>
      <c r="DH6" s="362"/>
      <c r="DI6" s="362"/>
      <c r="DJ6" s="362"/>
      <c r="DL6" s="380" t="s">
        <v>161</v>
      </c>
      <c r="DM6" s="362"/>
      <c r="DN6" s="362"/>
      <c r="DO6" s="362"/>
      <c r="DP6" s="362"/>
      <c r="DR6" s="380" t="s">
        <v>162</v>
      </c>
      <c r="DS6" s="362"/>
      <c r="DT6" s="362"/>
      <c r="DU6" s="362"/>
      <c r="DV6" s="362"/>
      <c r="DX6" s="375" t="s">
        <v>163</v>
      </c>
      <c r="DY6" s="362"/>
      <c r="DZ6" s="362"/>
      <c r="EA6" s="362"/>
      <c r="EB6" s="362"/>
      <c r="ED6" s="375" t="s">
        <v>164</v>
      </c>
      <c r="EE6" s="362"/>
      <c r="EJ6" s="375" t="s">
        <v>165</v>
      </c>
      <c r="EK6" s="362"/>
      <c r="EP6" s="375" t="s">
        <v>166</v>
      </c>
      <c r="EQ6" s="362"/>
    </row>
    <row r="7" spans="1:150" ht="23.25" customHeight="1" x14ac:dyDescent="0.25">
      <c r="A7" s="115" t="s">
        <v>167</v>
      </c>
      <c r="B7" s="115" t="s">
        <v>168</v>
      </c>
      <c r="C7" s="116" t="s">
        <v>169</v>
      </c>
      <c r="E7" s="117">
        <f>+Dates!$B29</f>
        <v>45657</v>
      </c>
      <c r="F7" s="117"/>
      <c r="G7" s="117">
        <f>+Dates!$C29</f>
        <v>45291</v>
      </c>
      <c r="H7" s="170"/>
      <c r="I7" s="117">
        <f>+Dates!$D29</f>
        <v>44926</v>
      </c>
      <c r="K7" s="117">
        <f>+Dates!$B29</f>
        <v>45657</v>
      </c>
      <c r="L7" s="117"/>
      <c r="M7" s="117">
        <f>+Dates!$C29</f>
        <v>45291</v>
      </c>
      <c r="N7" s="170"/>
      <c r="O7" s="117">
        <f>+Dates!$D29</f>
        <v>44926</v>
      </c>
      <c r="Q7" s="117">
        <f>+Dates!$B29</f>
        <v>45657</v>
      </c>
      <c r="R7" s="117"/>
      <c r="S7" s="117">
        <f>+Dates!$C29</f>
        <v>45291</v>
      </c>
      <c r="T7" s="170"/>
      <c r="U7" s="117">
        <f>+Dates!$D29</f>
        <v>44926</v>
      </c>
      <c r="W7" s="117">
        <f>+Dates!$B29</f>
        <v>45657</v>
      </c>
      <c r="X7" s="117"/>
      <c r="Y7" s="117">
        <f>+Dates!$C29</f>
        <v>45291</v>
      </c>
      <c r="Z7" s="170"/>
      <c r="AA7" s="117">
        <f>+Dates!$D29</f>
        <v>44926</v>
      </c>
      <c r="AC7" s="117">
        <f>+Dates!$B29</f>
        <v>45657</v>
      </c>
      <c r="AD7" s="117"/>
      <c r="AE7" s="117">
        <f>+Dates!$C29</f>
        <v>45291</v>
      </c>
      <c r="AF7" s="170"/>
      <c r="AG7" s="117">
        <f>+Dates!$D29</f>
        <v>44926</v>
      </c>
      <c r="AI7" s="117">
        <f>+Dates!$B29</f>
        <v>45657</v>
      </c>
      <c r="AJ7" s="117"/>
      <c r="AK7" s="117">
        <f>+Dates!$C29</f>
        <v>45291</v>
      </c>
      <c r="AL7" s="170"/>
      <c r="AM7" s="117">
        <f>+Dates!$D29</f>
        <v>44926</v>
      </c>
      <c r="AO7" s="118" t="s">
        <v>80</v>
      </c>
      <c r="AP7" s="118" t="s">
        <v>79</v>
      </c>
      <c r="AR7" s="118" t="s">
        <v>80</v>
      </c>
      <c r="AS7" s="118" t="s">
        <v>79</v>
      </c>
      <c r="AV7" s="119" t="s">
        <v>170</v>
      </c>
      <c r="AX7" s="171"/>
      <c r="AZ7" s="120">
        <v>45473</v>
      </c>
      <c r="BA7" s="120">
        <v>45565</v>
      </c>
      <c r="BB7" s="121">
        <v>45657</v>
      </c>
      <c r="BC7" s="120">
        <v>45747</v>
      </c>
      <c r="BD7" s="120" t="s">
        <v>171</v>
      </c>
      <c r="BF7" s="120">
        <v>45107</v>
      </c>
      <c r="BG7" s="120">
        <v>45199</v>
      </c>
      <c r="BH7" s="120">
        <v>45291</v>
      </c>
      <c r="BI7" s="120">
        <v>45382</v>
      </c>
      <c r="BJ7" s="120" t="s">
        <v>172</v>
      </c>
      <c r="BL7" s="120">
        <v>44742</v>
      </c>
      <c r="BM7" s="120">
        <v>44834</v>
      </c>
      <c r="BN7" s="120">
        <v>44926</v>
      </c>
      <c r="BO7" s="120">
        <v>45016</v>
      </c>
      <c r="BP7" s="120" t="s">
        <v>173</v>
      </c>
      <c r="BR7" s="120">
        <v>44377</v>
      </c>
      <c r="BS7" s="120">
        <v>44469</v>
      </c>
      <c r="BT7" s="120">
        <v>44561</v>
      </c>
      <c r="BU7" s="120">
        <v>44651</v>
      </c>
      <c r="BV7" s="120" t="s">
        <v>174</v>
      </c>
      <c r="BX7" s="120">
        <v>44012</v>
      </c>
      <c r="BY7" s="120">
        <v>44104</v>
      </c>
      <c r="BZ7" s="120">
        <v>44196</v>
      </c>
      <c r="CA7" s="120">
        <v>44286</v>
      </c>
      <c r="CB7" s="120" t="s">
        <v>175</v>
      </c>
      <c r="CD7" s="120">
        <v>43646</v>
      </c>
      <c r="CE7" s="120">
        <v>43738</v>
      </c>
      <c r="CF7" s="120">
        <v>43830</v>
      </c>
      <c r="CG7" s="120">
        <v>43921</v>
      </c>
      <c r="CH7" s="120" t="s">
        <v>176</v>
      </c>
      <c r="CJ7" s="120">
        <v>43281</v>
      </c>
      <c r="CK7" s="120">
        <v>43373</v>
      </c>
      <c r="CL7" s="120">
        <v>43465</v>
      </c>
      <c r="CM7" s="120">
        <v>43555</v>
      </c>
      <c r="CN7" s="122" t="s">
        <v>177</v>
      </c>
      <c r="CP7" s="120">
        <v>42916</v>
      </c>
      <c r="CQ7" s="120">
        <v>43008</v>
      </c>
      <c r="CR7" s="120">
        <v>43100</v>
      </c>
      <c r="CS7" s="120">
        <v>43190</v>
      </c>
      <c r="CT7" s="120" t="s">
        <v>178</v>
      </c>
      <c r="CV7" s="120" t="s">
        <v>179</v>
      </c>
      <c r="CX7" s="167"/>
      <c r="CZ7" s="117">
        <v>45473</v>
      </c>
      <c r="DA7" s="117">
        <v>45565</v>
      </c>
      <c r="DB7" s="117">
        <v>45657</v>
      </c>
      <c r="DC7" s="117">
        <v>45747</v>
      </c>
      <c r="DD7" s="117" t="s">
        <v>171</v>
      </c>
      <c r="DF7" s="117">
        <v>45107</v>
      </c>
      <c r="DG7" s="117">
        <v>45199</v>
      </c>
      <c r="DH7" s="117">
        <v>45291</v>
      </c>
      <c r="DI7" s="117">
        <v>45382</v>
      </c>
      <c r="DJ7" s="117" t="s">
        <v>172</v>
      </c>
      <c r="DL7" s="117">
        <v>44742</v>
      </c>
      <c r="DM7" s="117">
        <v>44834</v>
      </c>
      <c r="DN7" s="117">
        <v>44926</v>
      </c>
      <c r="DO7" s="117">
        <v>45016</v>
      </c>
      <c r="DP7" s="117" t="s">
        <v>173</v>
      </c>
      <c r="DR7" s="117">
        <v>44377</v>
      </c>
      <c r="DS7" s="117">
        <v>44469</v>
      </c>
      <c r="DT7" s="117">
        <v>44561</v>
      </c>
      <c r="DU7" s="117">
        <v>44651</v>
      </c>
      <c r="DV7" s="117" t="s">
        <v>174</v>
      </c>
      <c r="DX7" s="117">
        <v>44012</v>
      </c>
      <c r="DY7" s="117">
        <v>44104</v>
      </c>
      <c r="DZ7" s="117">
        <v>44196</v>
      </c>
      <c r="EA7" s="117">
        <v>44286</v>
      </c>
      <c r="EB7" s="117" t="s">
        <v>175</v>
      </c>
      <c r="ED7" s="117">
        <v>43646</v>
      </c>
      <c r="EE7" s="117">
        <v>43738</v>
      </c>
      <c r="EF7" s="117">
        <v>43830</v>
      </c>
      <c r="EG7" s="117">
        <v>43921</v>
      </c>
      <c r="EH7" s="117" t="s">
        <v>176</v>
      </c>
      <c r="EJ7" s="117">
        <v>43281</v>
      </c>
      <c r="EK7" s="117">
        <v>43373</v>
      </c>
      <c r="EL7" s="117">
        <v>43465</v>
      </c>
      <c r="EM7" s="117">
        <v>43555</v>
      </c>
      <c r="EN7" s="118" t="s">
        <v>177</v>
      </c>
      <c r="EP7" s="117">
        <v>42916</v>
      </c>
      <c r="EQ7" s="117">
        <v>43008</v>
      </c>
      <c r="ER7" s="117">
        <v>43100</v>
      </c>
      <c r="ES7" s="117">
        <v>43190</v>
      </c>
      <c r="ET7" s="118" t="s">
        <v>178</v>
      </c>
    </row>
    <row r="8" spans="1:150" ht="15.75" customHeight="1" x14ac:dyDescent="0.25">
      <c r="E8" s="102"/>
      <c r="F8" s="102"/>
      <c r="G8" s="102"/>
      <c r="I8" s="102"/>
      <c r="K8" s="102"/>
      <c r="L8" s="102"/>
      <c r="M8" s="102"/>
      <c r="O8" s="102"/>
      <c r="Q8" s="102"/>
      <c r="R8" s="102"/>
      <c r="S8" s="102"/>
      <c r="U8" s="50"/>
      <c r="W8" s="102"/>
      <c r="X8" s="102"/>
      <c r="Y8" s="102"/>
      <c r="AA8" s="50"/>
      <c r="AC8" s="101"/>
      <c r="AD8" s="101"/>
      <c r="AE8" s="101"/>
      <c r="AG8" s="101"/>
      <c r="AI8" s="50"/>
      <c r="AJ8" s="50"/>
      <c r="AK8" s="50"/>
      <c r="AM8" s="50"/>
      <c r="AO8" s="102"/>
      <c r="AP8" s="102"/>
      <c r="AR8" s="102"/>
      <c r="AS8" s="102"/>
      <c r="AV8" s="123">
        <v>2</v>
      </c>
      <c r="AX8" s="167"/>
      <c r="AZ8" s="102"/>
      <c r="BA8" s="102"/>
      <c r="BB8" s="102"/>
      <c r="BC8" s="102"/>
      <c r="BD8" s="102"/>
      <c r="BF8" s="102"/>
      <c r="BG8" s="102"/>
      <c r="BH8" s="102"/>
      <c r="BI8" s="102"/>
      <c r="BJ8" s="102"/>
      <c r="BL8" s="102"/>
      <c r="BM8" s="102"/>
      <c r="BN8" s="102"/>
      <c r="BO8" s="102"/>
      <c r="BP8" s="102"/>
      <c r="BR8" s="102"/>
      <c r="BS8" s="102"/>
      <c r="BT8" s="102"/>
      <c r="BU8" s="102"/>
      <c r="BV8" s="102"/>
      <c r="BX8" s="102"/>
      <c r="BY8" s="102"/>
      <c r="BZ8" s="102"/>
      <c r="CA8" s="102"/>
      <c r="CB8" s="102"/>
      <c r="CD8" s="102"/>
      <c r="CE8" s="102"/>
      <c r="CF8" s="102"/>
      <c r="CG8" s="102"/>
      <c r="CH8" s="102"/>
      <c r="CJ8" s="102"/>
      <c r="CK8" s="102"/>
      <c r="CL8" s="102"/>
      <c r="CM8" s="102"/>
      <c r="CN8" s="102"/>
      <c r="CP8" s="102"/>
      <c r="CQ8" s="102"/>
      <c r="CR8" s="102"/>
      <c r="CS8" s="102"/>
      <c r="CT8" s="102"/>
      <c r="CV8" s="102"/>
      <c r="CX8" s="167"/>
      <c r="CZ8" s="102"/>
      <c r="DA8" s="102"/>
      <c r="DB8" s="102"/>
      <c r="DC8" s="102"/>
      <c r="DD8" s="102"/>
      <c r="DF8" s="102"/>
      <c r="DG8" s="102"/>
      <c r="DH8" s="102"/>
      <c r="DI8" s="102"/>
      <c r="DJ8" s="102"/>
      <c r="DL8" s="102"/>
      <c r="DM8" s="102"/>
      <c r="DN8" s="102"/>
      <c r="DO8" s="102"/>
      <c r="DP8" s="102"/>
      <c r="DR8" s="102"/>
      <c r="DS8" s="102"/>
      <c r="DT8" s="102"/>
      <c r="DU8" s="102"/>
      <c r="DV8" s="102"/>
      <c r="DX8" s="102"/>
      <c r="DY8" s="102"/>
      <c r="DZ8" s="102"/>
      <c r="EA8" s="102"/>
      <c r="EB8" s="102"/>
      <c r="ED8" s="102"/>
      <c r="EE8" s="102"/>
      <c r="EF8" s="102"/>
      <c r="EG8" s="102"/>
      <c r="EH8" s="102"/>
      <c r="EJ8" s="102"/>
      <c r="EK8" s="102"/>
      <c r="EL8" s="102"/>
      <c r="EM8" s="102"/>
      <c r="EN8" s="102"/>
      <c r="EP8" s="102"/>
      <c r="EQ8" s="102"/>
      <c r="ER8" s="102"/>
      <c r="ES8" s="102"/>
      <c r="ET8" s="102"/>
    </row>
    <row r="9" spans="1:150" ht="15.75" customHeight="1" x14ac:dyDescent="0.25">
      <c r="A9" s="22" t="s">
        <v>180</v>
      </c>
      <c r="B9" s="22" t="str">
        <f>+A9</f>
        <v>Revenues</v>
      </c>
      <c r="C9" s="22" t="str">
        <f>+A9</f>
        <v>Revenues</v>
      </c>
      <c r="E9" s="124">
        <f>HLOOKUP(E$7,$AX$7:$CX$44,$AV9,FALSE)</f>
        <v>195412000</v>
      </c>
      <c r="G9" s="124">
        <f>HLOOKUP(G$7,$AX$7:$CX$44,$AV9,FALSE)</f>
        <v>173869000</v>
      </c>
      <c r="I9" s="124">
        <f>HLOOKUP(I$7,$AX$7:$CX$44,$AV9,FALSE)</f>
        <v>158615000</v>
      </c>
      <c r="K9" s="124">
        <f>HLOOKUP(K$7,$CX$7:$ET$44,$AV9,FALSE)</f>
        <v>556856000</v>
      </c>
      <c r="M9" s="124">
        <f>HLOOKUP(M$7,$CX$7:$ET$44,$AV9,FALSE)</f>
        <v>487809000</v>
      </c>
      <c r="O9" s="124">
        <f>HLOOKUP(O$7,$CX$7:$ET$44,$AV9,FALSE)</f>
        <v>447957000</v>
      </c>
      <c r="Q9" s="125" t="str">
        <f>IF(E9&gt;G9,"increase","decrease")</f>
        <v>increase</v>
      </c>
      <c r="S9" s="125" t="str">
        <f>IF(G9&gt;I9,"increase","decrease")</f>
        <v>increase</v>
      </c>
      <c r="W9" s="125" t="str">
        <f>IF(E9&gt;G9,"an increase","a decrease")</f>
        <v>an increase</v>
      </c>
      <c r="Y9" s="125" t="str">
        <f>IF(G9&gt;I9,"an increase","a decrease")</f>
        <v>an increase</v>
      </c>
      <c r="AO9" s="126">
        <f>+AP9/ABS(G9)</f>
        <v>0.12390362859394141</v>
      </c>
      <c r="AP9" s="72">
        <f>+E9-G9</f>
        <v>21543000</v>
      </c>
      <c r="AR9" s="126">
        <f>+AS9/ABS(M9)</f>
        <v>0.14154515394344919</v>
      </c>
      <c r="AS9" s="72">
        <f>+K9-M9</f>
        <v>69047000</v>
      </c>
      <c r="AV9" s="127">
        <f t="shared" ref="AV9:AV40" si="0">+AV8+1</f>
        <v>3</v>
      </c>
      <c r="AX9" s="172"/>
      <c r="AZ9" s="71">
        <v>175961000</v>
      </c>
      <c r="BA9" s="94">
        <v>185483000</v>
      </c>
      <c r="BB9" s="71">
        <v>195412000</v>
      </c>
      <c r="BC9" s="71">
        <v>0</v>
      </c>
      <c r="BD9" s="71">
        <f>SUM(AZ9:BC9)</f>
        <v>556856000</v>
      </c>
      <c r="BF9" s="71">
        <v>154069000</v>
      </c>
      <c r="BG9" s="71">
        <v>159871000</v>
      </c>
      <c r="BH9" s="71">
        <v>173869000</v>
      </c>
      <c r="BI9" s="71">
        <v>171852000</v>
      </c>
      <c r="BJ9" s="71">
        <f>SUM(BF9:BI9)</f>
        <v>659661000</v>
      </c>
      <c r="BL9" s="71">
        <v>142243000</v>
      </c>
      <c r="BM9" s="71">
        <v>147099000</v>
      </c>
      <c r="BN9" s="71">
        <v>158615000</v>
      </c>
      <c r="BO9" s="71">
        <v>148626000</v>
      </c>
      <c r="BP9" s="71">
        <f>SUM(BL9:BO9)</f>
        <v>596583000</v>
      </c>
      <c r="BR9" s="71">
        <v>119038000</v>
      </c>
      <c r="BS9" s="71">
        <v>127290000</v>
      </c>
      <c r="BT9" s="71">
        <v>140604000</v>
      </c>
      <c r="BU9" s="71">
        <v>141725000</v>
      </c>
      <c r="BV9" s="71">
        <f>SUM(BR9:BU9)</f>
        <v>528657000</v>
      </c>
      <c r="BX9" s="71">
        <v>99437000</v>
      </c>
      <c r="BY9" s="71">
        <v>104661000</v>
      </c>
      <c r="BZ9" s="71">
        <v>119753000</v>
      </c>
      <c r="CA9" s="71">
        <v>119175000</v>
      </c>
      <c r="CB9" s="71">
        <f>SUM(BX9:CA9)</f>
        <v>443026000</v>
      </c>
      <c r="CD9" s="71">
        <v>82511000</v>
      </c>
      <c r="CE9" s="71">
        <v>90143000</v>
      </c>
      <c r="CF9" s="71">
        <v>102217000</v>
      </c>
      <c r="CG9" s="71">
        <v>105701000</v>
      </c>
      <c r="CH9" s="71">
        <f>SUM(CD9:CG9)</f>
        <v>380572000</v>
      </c>
      <c r="CJ9" s="71">
        <v>62471000</v>
      </c>
      <c r="CK9" s="71">
        <v>64812000</v>
      </c>
      <c r="CL9" s="71">
        <v>80021000</v>
      </c>
      <c r="CM9" s="71">
        <v>78316000</v>
      </c>
      <c r="CN9" s="71">
        <f>SUM(CJ9:CM9)</f>
        <v>285620000</v>
      </c>
      <c r="CP9" s="124">
        <v>46757000</v>
      </c>
      <c r="CQ9" s="124">
        <v>54013000</v>
      </c>
      <c r="CR9" s="124">
        <v>59121000</v>
      </c>
      <c r="CS9" s="124">
        <v>60210000</v>
      </c>
      <c r="CT9" s="124">
        <v>220101000</v>
      </c>
      <c r="CV9" s="124">
        <v>174760000</v>
      </c>
      <c r="CX9" s="167"/>
      <c r="CZ9" s="71">
        <f>+AZ9</f>
        <v>175961000</v>
      </c>
      <c r="DA9" s="71">
        <f>SUM($AZ9:BA9)</f>
        <v>361444000</v>
      </c>
      <c r="DB9" s="71">
        <f>SUM($AZ9:BB9)</f>
        <v>556856000</v>
      </c>
      <c r="DC9" s="71">
        <f>SUM($AZ9:BC9)</f>
        <v>556856000</v>
      </c>
      <c r="DD9" s="71">
        <f>+DC9</f>
        <v>556856000</v>
      </c>
      <c r="DF9" s="71">
        <f>+BF9</f>
        <v>154069000</v>
      </c>
      <c r="DG9" s="71">
        <f>SUM($BF9:BG9)</f>
        <v>313940000</v>
      </c>
      <c r="DH9" s="71">
        <f>SUM($BF9:BH9)</f>
        <v>487809000</v>
      </c>
      <c r="DI9" s="71">
        <f>SUM($BF9:BI9)</f>
        <v>659661000</v>
      </c>
      <c r="DJ9" s="71">
        <f>+DI9</f>
        <v>659661000</v>
      </c>
      <c r="DL9" s="71">
        <f>+BL9</f>
        <v>142243000</v>
      </c>
      <c r="DM9" s="71">
        <f>SUM($BL9:BM9)</f>
        <v>289342000</v>
      </c>
      <c r="DN9" s="71">
        <f>SUM($BL9:BN9)</f>
        <v>447957000</v>
      </c>
      <c r="DO9" s="71">
        <f>SUM($BL9:BO9)</f>
        <v>596583000</v>
      </c>
      <c r="DP9" s="71">
        <f>+DO9</f>
        <v>596583000</v>
      </c>
      <c r="DR9" s="71">
        <f>+BR9</f>
        <v>119038000</v>
      </c>
      <c r="DS9" s="71">
        <f>SUM($BR9:BS9)</f>
        <v>246328000</v>
      </c>
      <c r="DT9" s="71">
        <f>SUM($BR9:BT9)</f>
        <v>386932000</v>
      </c>
      <c r="DU9" s="71">
        <f>SUM($BR9:BU9)</f>
        <v>528657000</v>
      </c>
      <c r="DV9" s="71">
        <f>+DU9</f>
        <v>528657000</v>
      </c>
      <c r="DX9" s="71">
        <f>+BX9</f>
        <v>99437000</v>
      </c>
      <c r="DY9" s="71">
        <f>SUM($BX9:BY9)</f>
        <v>204098000</v>
      </c>
      <c r="DZ9" s="71">
        <f>SUM($BX9:BZ9)</f>
        <v>323851000</v>
      </c>
      <c r="EA9" s="71">
        <f>SUM($BX9:CA9)</f>
        <v>443026000</v>
      </c>
      <c r="EB9" s="71">
        <f>+EA9</f>
        <v>443026000</v>
      </c>
      <c r="ED9" s="71">
        <f>+CD9</f>
        <v>82511000</v>
      </c>
      <c r="EE9" s="71">
        <f>SUM($CD9:CE9)</f>
        <v>172654000</v>
      </c>
      <c r="EF9" s="71">
        <f>SUM($CD9:CF9)</f>
        <v>274871000</v>
      </c>
      <c r="EG9" s="71">
        <f>SUM($CD9:CG9)</f>
        <v>380572000</v>
      </c>
      <c r="EH9" s="71">
        <f>+EG9</f>
        <v>380572000</v>
      </c>
      <c r="EJ9" s="71">
        <f>+CJ9</f>
        <v>62471000</v>
      </c>
      <c r="EK9" s="71">
        <f>SUM($CJ9:CK9)</f>
        <v>127283000</v>
      </c>
      <c r="EL9" s="71">
        <f>SUM($CJ9:CL9)</f>
        <v>207304000</v>
      </c>
      <c r="EM9" s="71">
        <f>SUM($CJ9:CM9)</f>
        <v>285620000</v>
      </c>
      <c r="EN9" s="71">
        <f>+EM9</f>
        <v>285620000</v>
      </c>
      <c r="EP9" s="71">
        <f>+CP9</f>
        <v>46757000</v>
      </c>
      <c r="EQ9" s="71">
        <f>SUM($CP9:CQ9)</f>
        <v>100770000</v>
      </c>
      <c r="ER9" s="71">
        <f>SUM($CP9:CR9)</f>
        <v>159891000</v>
      </c>
      <c r="ES9" s="71">
        <f>SUM($CP9:CS9)</f>
        <v>220101000</v>
      </c>
      <c r="ET9" s="71">
        <f>+ES9</f>
        <v>220101000</v>
      </c>
    </row>
    <row r="10" spans="1:150" ht="15.75" customHeight="1" x14ac:dyDescent="0.25">
      <c r="A10" s="22" t="s">
        <v>181</v>
      </c>
      <c r="B10" s="22" t="str">
        <f>+A10</f>
        <v>Cost of revenue</v>
      </c>
      <c r="C10" s="22" t="str">
        <f>+A10</f>
        <v>Cost of revenue</v>
      </c>
      <c r="E10" s="128">
        <f>HLOOKUP(E$7,$AX$7:$CX$44,$AV10,FALSE)</f>
        <v>54998000</v>
      </c>
      <c r="G10" s="128">
        <f>HLOOKUP(G$7,$AX$7:$CX$44,$AV10,FALSE)</f>
        <v>44934000</v>
      </c>
      <c r="I10" s="128">
        <f>HLOOKUP(I$7,$AX$7:$CX$44,$AV10,FALSE)</f>
        <v>43287000</v>
      </c>
      <c r="K10" s="75">
        <f>HLOOKUP(K$7,$CX$7:$ET$44,$AV10,FALSE)</f>
        <v>157981000</v>
      </c>
      <c r="M10" s="75">
        <f>HLOOKUP(M$7,$CX$7:$ET$44,$AV10,FALSE)</f>
        <v>131767000</v>
      </c>
      <c r="O10" s="75">
        <f>HLOOKUP(O$7,$CX$7:$ET$44,$AV10,FALSE)</f>
        <v>126612000</v>
      </c>
      <c r="Q10" s="125" t="str">
        <f>IF(E10&gt;G10,"increase","decrease")</f>
        <v>increase</v>
      </c>
      <c r="S10" s="125" t="str">
        <f>IF(G10&gt;I10,"increase","decrease")</f>
        <v>increase</v>
      </c>
      <c r="W10" s="125" t="str">
        <f>IF(E10&gt;G10,"an increase","a decrease")</f>
        <v>an increase</v>
      </c>
      <c r="Y10" s="125" t="str">
        <f>IF(G10&gt;I10,"an increase","a decrease")</f>
        <v>an increase</v>
      </c>
      <c r="AO10" s="126">
        <f>+AP10/ABS(G10)</f>
        <v>0.223972938086972</v>
      </c>
      <c r="AP10" s="72">
        <f>+E10-G10</f>
        <v>10064000</v>
      </c>
      <c r="AR10" s="126">
        <f>+AS10/ABS(M10)</f>
        <v>0.19894207199071087</v>
      </c>
      <c r="AS10" s="72">
        <f>+K10-M10</f>
        <v>26214000</v>
      </c>
      <c r="AV10" s="127">
        <f t="shared" si="0"/>
        <v>4</v>
      </c>
      <c r="AX10" s="172"/>
      <c r="AZ10" s="75">
        <v>51749000</v>
      </c>
      <c r="BA10" s="129">
        <v>51234000</v>
      </c>
      <c r="BB10" s="75">
        <v>54998000</v>
      </c>
      <c r="BC10" s="75">
        <v>0</v>
      </c>
      <c r="BD10" s="75">
        <f>SUM(AZ10:BC10)</f>
        <v>157981000</v>
      </c>
      <c r="BF10" s="75">
        <v>45621000</v>
      </c>
      <c r="BG10" s="75">
        <v>41212000</v>
      </c>
      <c r="BH10" s="75">
        <v>44934000</v>
      </c>
      <c r="BI10" s="75">
        <v>47722000</v>
      </c>
      <c r="BJ10" s="75">
        <f>SUM(BF10:BI10)</f>
        <v>179489000</v>
      </c>
      <c r="BL10" s="75">
        <v>41021000</v>
      </c>
      <c r="BM10" s="75">
        <v>42304000</v>
      </c>
      <c r="BN10" s="75">
        <v>43287000</v>
      </c>
      <c r="BO10" s="75">
        <v>43472000</v>
      </c>
      <c r="BP10" s="75">
        <f>SUM(BL10:BO10)</f>
        <v>170084000</v>
      </c>
      <c r="BR10" s="75">
        <v>34315000</v>
      </c>
      <c r="BS10" s="75">
        <v>35079000</v>
      </c>
      <c r="BT10" s="75">
        <v>38557000</v>
      </c>
      <c r="BU10" s="75">
        <v>39476000</v>
      </c>
      <c r="BV10" s="75">
        <f>SUM(BR10:BU10)</f>
        <v>147427000</v>
      </c>
      <c r="BX10" s="75">
        <v>34465000</v>
      </c>
      <c r="BY10" s="75">
        <v>34897000</v>
      </c>
      <c r="BZ10" s="75">
        <v>37085000</v>
      </c>
      <c r="CA10" s="75">
        <v>37557000</v>
      </c>
      <c r="CB10" s="75">
        <f>SUM(BX10:CA10)</f>
        <v>144004000</v>
      </c>
      <c r="CD10" s="75">
        <v>36426000</v>
      </c>
      <c r="CE10" s="75">
        <v>41460000</v>
      </c>
      <c r="CF10" s="75">
        <v>37966000</v>
      </c>
      <c r="CG10" s="75">
        <v>36852000</v>
      </c>
      <c r="CH10" s="75">
        <f>SUM(CD10:CG10)</f>
        <v>152704000</v>
      </c>
      <c r="CJ10" s="75">
        <v>23654000</v>
      </c>
      <c r="CK10" s="75">
        <v>24466000</v>
      </c>
      <c r="CL10" s="75">
        <v>34838000</v>
      </c>
      <c r="CM10" s="75">
        <v>37760000</v>
      </c>
      <c r="CN10" s="75">
        <f>SUM(CJ10:CM10)</f>
        <v>120718000</v>
      </c>
      <c r="CP10" s="75">
        <v>24061000</v>
      </c>
      <c r="CQ10" s="75">
        <v>24009000</v>
      </c>
      <c r="CR10" s="75">
        <v>24526000</v>
      </c>
      <c r="CS10" s="75">
        <v>23800000</v>
      </c>
      <c r="CT10" s="75">
        <v>96396000</v>
      </c>
      <c r="CV10" s="75">
        <v>99976000</v>
      </c>
      <c r="CX10" s="167"/>
      <c r="CZ10" s="129">
        <f>+AZ10</f>
        <v>51749000</v>
      </c>
      <c r="DA10" s="129">
        <f>SUM($AZ10:BA10)</f>
        <v>102983000</v>
      </c>
      <c r="DB10" s="129">
        <f>SUM($AZ10:BB10)</f>
        <v>157981000</v>
      </c>
      <c r="DC10" s="129">
        <f>SUM($AZ10:BC10)</f>
        <v>157981000</v>
      </c>
      <c r="DD10" s="129">
        <f>+DC10</f>
        <v>157981000</v>
      </c>
      <c r="DF10" s="129">
        <f>+BF10</f>
        <v>45621000</v>
      </c>
      <c r="DG10" s="129">
        <f>SUM($BF10:BG10)</f>
        <v>86833000</v>
      </c>
      <c r="DH10" s="129">
        <f>SUM($BF10:BH10)</f>
        <v>131767000</v>
      </c>
      <c r="DI10" s="129">
        <f>SUM($BF10:BI10)</f>
        <v>179489000</v>
      </c>
      <c r="DJ10" s="129">
        <f>+DI10</f>
        <v>179489000</v>
      </c>
      <c r="DL10" s="129">
        <f>+BL10</f>
        <v>41021000</v>
      </c>
      <c r="DM10" s="129">
        <f>SUM($BL10:BM10)</f>
        <v>83325000</v>
      </c>
      <c r="DN10" s="129">
        <f>SUM($BL10:BN10)</f>
        <v>126612000</v>
      </c>
      <c r="DO10" s="129">
        <f>SUM($BL10:BO10)</f>
        <v>170084000</v>
      </c>
      <c r="DP10" s="129">
        <f>+DO10</f>
        <v>170084000</v>
      </c>
      <c r="DR10" s="129">
        <f>+BR10</f>
        <v>34315000</v>
      </c>
      <c r="DS10" s="129">
        <f>SUM($BR10:BS10)</f>
        <v>69394000</v>
      </c>
      <c r="DT10" s="129">
        <f>SUM($BR10:BT10)</f>
        <v>107951000</v>
      </c>
      <c r="DU10" s="129">
        <f>SUM($BR10:BU10)</f>
        <v>147427000</v>
      </c>
      <c r="DV10" s="129">
        <f>+DU10</f>
        <v>147427000</v>
      </c>
      <c r="DX10" s="129">
        <f>+BX10</f>
        <v>34465000</v>
      </c>
      <c r="DY10" s="129">
        <f>SUM($BX10:BY10)</f>
        <v>69362000</v>
      </c>
      <c r="DZ10" s="129">
        <f>SUM($BX10:BZ10)</f>
        <v>106447000</v>
      </c>
      <c r="EA10" s="129">
        <f>SUM($BX10:CA10)</f>
        <v>144004000</v>
      </c>
      <c r="EB10" s="129">
        <f>+EA10</f>
        <v>144004000</v>
      </c>
      <c r="ED10" s="129">
        <f>+CD10</f>
        <v>36426000</v>
      </c>
      <c r="EE10" s="129">
        <f>SUM($CD10:CE10)</f>
        <v>77886000</v>
      </c>
      <c r="EF10" s="129">
        <f>SUM($CD10:CF10)</f>
        <v>115852000</v>
      </c>
      <c r="EG10" s="129">
        <f>SUM($CD10:CG10)</f>
        <v>152704000</v>
      </c>
      <c r="EH10" s="129">
        <f>+EG10</f>
        <v>152704000</v>
      </c>
      <c r="EJ10" s="129">
        <f>+CJ10</f>
        <v>23654000</v>
      </c>
      <c r="EK10" s="129">
        <f>SUM($CJ10:CK10)</f>
        <v>48120000</v>
      </c>
      <c r="EL10" s="129">
        <f>SUM($CJ10:CL10)</f>
        <v>82958000</v>
      </c>
      <c r="EM10" s="129">
        <f>SUM($CJ10:CM10)</f>
        <v>120718000</v>
      </c>
      <c r="EN10" s="129">
        <f>+EM10</f>
        <v>120718000</v>
      </c>
      <c r="EP10" s="129">
        <f>+CP10</f>
        <v>24061000</v>
      </c>
      <c r="EQ10" s="129">
        <f>SUM($CP10:CQ10)</f>
        <v>48070000</v>
      </c>
      <c r="ER10" s="129">
        <f>SUM($CP10:CR10)</f>
        <v>72596000</v>
      </c>
      <c r="ES10" s="129">
        <f>SUM($CP10:CS10)</f>
        <v>96396000</v>
      </c>
      <c r="ET10" s="129">
        <f>+ES10</f>
        <v>96396000</v>
      </c>
    </row>
    <row r="11" spans="1:150" ht="15.75" customHeight="1" x14ac:dyDescent="0.25">
      <c r="A11" s="130" t="s">
        <v>182</v>
      </c>
      <c r="B11" s="130" t="str">
        <f>+A11</f>
        <v>Gross profit</v>
      </c>
      <c r="C11" s="130" t="str">
        <f>+A11</f>
        <v>Gross profit</v>
      </c>
      <c r="E11" s="131">
        <f>+E9-E10</f>
        <v>140414000</v>
      </c>
      <c r="G11" s="131">
        <f>+G9-G10</f>
        <v>128935000</v>
      </c>
      <c r="I11" s="131">
        <f>+I9-I10</f>
        <v>115328000</v>
      </c>
      <c r="K11" s="131">
        <f>+K9-K10</f>
        <v>398875000</v>
      </c>
      <c r="L11" s="163"/>
      <c r="M11" s="131">
        <f>+M9-M10</f>
        <v>356042000</v>
      </c>
      <c r="N11" s="163"/>
      <c r="O11" s="131">
        <f>+O9-O10</f>
        <v>321345000</v>
      </c>
      <c r="Q11" s="125" t="str">
        <f>IF(E11&gt;G11,"increase","decrease")</f>
        <v>increase</v>
      </c>
      <c r="S11" s="125" t="str">
        <f>IF(G11&gt;I11,"increase","decrease")</f>
        <v>increase</v>
      </c>
      <c r="W11" s="132" t="str">
        <f>IF(E11&gt;G11,"an increase","a decrease")</f>
        <v>an increase</v>
      </c>
      <c r="Y11" s="132" t="str">
        <f>IF(G11&gt;I11,"an increase","a decrease")</f>
        <v>an increase</v>
      </c>
      <c r="AO11" s="126">
        <f>+AP11/ABS(G11)</f>
        <v>8.9029355876992289E-2</v>
      </c>
      <c r="AP11" s="72">
        <f>+E11-G11</f>
        <v>11479000</v>
      </c>
      <c r="AR11" s="126">
        <f>+AS11/ABS(M11)</f>
        <v>0.12030322265350717</v>
      </c>
      <c r="AS11" s="72">
        <f>+K11-M11</f>
        <v>42833000</v>
      </c>
      <c r="AV11" s="127">
        <f t="shared" si="0"/>
        <v>5</v>
      </c>
      <c r="AX11" s="172"/>
      <c r="AZ11" s="131">
        <f>+AZ9-AZ10</f>
        <v>124212000</v>
      </c>
      <c r="BA11" s="131">
        <f>+BA9-BA10</f>
        <v>134249000</v>
      </c>
      <c r="BB11" s="131">
        <f>+BB9-BB10</f>
        <v>140414000</v>
      </c>
      <c r="BC11" s="131">
        <f>+BC9-BC10</f>
        <v>0</v>
      </c>
      <c r="BD11" s="131">
        <f>+BD9-BD10</f>
        <v>398875000</v>
      </c>
      <c r="BF11" s="131">
        <f>+BF9-BF10</f>
        <v>108448000</v>
      </c>
      <c r="BG11" s="131">
        <f>+BG9-BG10</f>
        <v>118659000</v>
      </c>
      <c r="BH11" s="131">
        <f>+BH9-BH10</f>
        <v>128935000</v>
      </c>
      <c r="BI11" s="131">
        <f>+BI9-BI10</f>
        <v>124130000</v>
      </c>
      <c r="BJ11" s="131">
        <f>+BJ9-BJ10</f>
        <v>480172000</v>
      </c>
      <c r="BL11" s="131">
        <f>+BL9-BL10</f>
        <v>101222000</v>
      </c>
      <c r="BM11" s="131">
        <f>+BM9-BM10</f>
        <v>104795000</v>
      </c>
      <c r="BN11" s="131">
        <f>+BN9-BN10</f>
        <v>115328000</v>
      </c>
      <c r="BO11" s="131">
        <f>+BO9-BO10</f>
        <v>105154000</v>
      </c>
      <c r="BP11" s="131">
        <f>+BP9-BP10</f>
        <v>426499000</v>
      </c>
      <c r="BR11" s="131">
        <f>+BR9-BR10</f>
        <v>84723000</v>
      </c>
      <c r="BS11" s="131">
        <f>+BS9-BS10</f>
        <v>92211000</v>
      </c>
      <c r="BT11" s="131">
        <f>+BT9-BT10</f>
        <v>102047000</v>
      </c>
      <c r="BU11" s="131">
        <f>+BU9-BU10</f>
        <v>102249000</v>
      </c>
      <c r="BV11" s="131">
        <f>+BV9-BV10</f>
        <v>381230000</v>
      </c>
      <c r="BX11" s="131">
        <f>+BX9-BX10</f>
        <v>64972000</v>
      </c>
      <c r="BY11" s="131">
        <f>+BY9-BY10</f>
        <v>69764000</v>
      </c>
      <c r="BZ11" s="131">
        <f>+BZ9-BZ10</f>
        <v>82668000</v>
      </c>
      <c r="CA11" s="131">
        <f>+CA9-CA10</f>
        <v>81618000</v>
      </c>
      <c r="CB11" s="131">
        <f>+CB9-CB10</f>
        <v>299022000</v>
      </c>
      <c r="CD11" s="131">
        <f>+CD9-CD10</f>
        <v>46085000</v>
      </c>
      <c r="CE11" s="131">
        <f>+CE9-CE10</f>
        <v>48683000</v>
      </c>
      <c r="CF11" s="131">
        <f>+CF9-CF10</f>
        <v>64251000</v>
      </c>
      <c r="CG11" s="131">
        <f>+CG9-CG10</f>
        <v>68849000</v>
      </c>
      <c r="CH11" s="131">
        <f>+CH9-CH10</f>
        <v>227868000</v>
      </c>
      <c r="CJ11" s="131">
        <f>+CJ9-CJ10</f>
        <v>38817000</v>
      </c>
      <c r="CK11" s="131">
        <f>+CK9-CK10</f>
        <v>40346000</v>
      </c>
      <c r="CL11" s="131">
        <f>+CL9-CL10</f>
        <v>45183000</v>
      </c>
      <c r="CM11" s="131">
        <f>+CM9-CM10</f>
        <v>40556000</v>
      </c>
      <c r="CN11" s="131">
        <f>+CN9-CN10</f>
        <v>164902000</v>
      </c>
      <c r="CP11" s="131">
        <f>+CP9-CP10</f>
        <v>22696000</v>
      </c>
      <c r="CQ11" s="131">
        <f>+CQ9-CQ10</f>
        <v>30004000</v>
      </c>
      <c r="CR11" s="131">
        <f>+CR9-CR10</f>
        <v>34595000</v>
      </c>
      <c r="CS11" s="131">
        <f>+CS9-CS10</f>
        <v>36410000</v>
      </c>
      <c r="CT11" s="131">
        <f>+CT9-CT10</f>
        <v>123705000</v>
      </c>
      <c r="CV11" s="131">
        <f>+CV9-CV10</f>
        <v>74784000</v>
      </c>
      <c r="CX11" s="167"/>
      <c r="CZ11" s="131">
        <f>+CZ9-CZ10</f>
        <v>124212000</v>
      </c>
      <c r="DA11" s="131">
        <f>+DA9-DA10</f>
        <v>258461000</v>
      </c>
      <c r="DB11" s="131">
        <f>+DB9-DB10</f>
        <v>398875000</v>
      </c>
      <c r="DC11" s="131">
        <f>+DC9-DC10</f>
        <v>398875000</v>
      </c>
      <c r="DD11" s="131">
        <f>+DD9-DD10</f>
        <v>398875000</v>
      </c>
      <c r="DF11" s="131">
        <f>+DF9-DF10</f>
        <v>108448000</v>
      </c>
      <c r="DG11" s="131">
        <f>+DG9-DG10</f>
        <v>227107000</v>
      </c>
      <c r="DH11" s="131">
        <f>+DH9-DH10</f>
        <v>356042000</v>
      </c>
      <c r="DI11" s="131">
        <f>+DI9-DI10</f>
        <v>480172000</v>
      </c>
      <c r="DJ11" s="131">
        <f>+DJ9-DJ10</f>
        <v>480172000</v>
      </c>
      <c r="DL11" s="131">
        <f>+DL9-DL10</f>
        <v>101222000</v>
      </c>
      <c r="DM11" s="131">
        <f>+DM9-DM10</f>
        <v>206017000</v>
      </c>
      <c r="DN11" s="131">
        <f>+DN9-DN10</f>
        <v>321345000</v>
      </c>
      <c r="DO11" s="131">
        <f>+DO9-DO10</f>
        <v>426499000</v>
      </c>
      <c r="DP11" s="131">
        <f>+DP9-DP10</f>
        <v>426499000</v>
      </c>
      <c r="DR11" s="131">
        <f>+DR9-DR10</f>
        <v>84723000</v>
      </c>
      <c r="DS11" s="131">
        <f>+DS9-DS10</f>
        <v>176934000</v>
      </c>
      <c r="DT11" s="131">
        <f>+DT9-DT10</f>
        <v>278981000</v>
      </c>
      <c r="DU11" s="131">
        <f>+DU9-DU10</f>
        <v>381230000</v>
      </c>
      <c r="DV11" s="131">
        <f>+DV9-DV10</f>
        <v>381230000</v>
      </c>
      <c r="DX11" s="131">
        <f>+DX9-DX10</f>
        <v>64972000</v>
      </c>
      <c r="DY11" s="131">
        <f>+DY9-DY10</f>
        <v>134736000</v>
      </c>
      <c r="DZ11" s="131">
        <f>+DZ9-DZ10</f>
        <v>217404000</v>
      </c>
      <c r="EA11" s="131">
        <f>+EA9-EA10</f>
        <v>299022000</v>
      </c>
      <c r="EB11" s="131">
        <f>+EB9-EB10</f>
        <v>299022000</v>
      </c>
      <c r="ED11" s="131">
        <f>+ED9-ED10</f>
        <v>46085000</v>
      </c>
      <c r="EE11" s="131">
        <f>+EE9-EE10</f>
        <v>94768000</v>
      </c>
      <c r="EF11" s="131">
        <f>+EF9-EF10</f>
        <v>159019000</v>
      </c>
      <c r="EG11" s="131">
        <f>+EG9-EG10</f>
        <v>227868000</v>
      </c>
      <c r="EH11" s="131">
        <f>+EH9-EH10</f>
        <v>227868000</v>
      </c>
      <c r="EJ11" s="131">
        <f>+EJ9-EJ10</f>
        <v>38817000</v>
      </c>
      <c r="EK11" s="131">
        <f>+EK9-EK10</f>
        <v>79163000</v>
      </c>
      <c r="EL11" s="131">
        <f>+EL9-EL10</f>
        <v>124346000</v>
      </c>
      <c r="EM11" s="131">
        <f>+EM9-EM10</f>
        <v>164902000</v>
      </c>
      <c r="EN11" s="131">
        <f>+EN9-EN10</f>
        <v>164902000</v>
      </c>
      <c r="EP11" s="131">
        <f>+EP9-EP10</f>
        <v>22696000</v>
      </c>
      <c r="EQ11" s="131">
        <f>+EQ9-EQ10</f>
        <v>52700000</v>
      </c>
      <c r="ER11" s="131">
        <f>+ER9-ER10</f>
        <v>87295000</v>
      </c>
      <c r="ES11" s="131">
        <f>+ES9-ES10</f>
        <v>123705000</v>
      </c>
      <c r="ET11" s="131">
        <f>+ET9-ET10</f>
        <v>123705000</v>
      </c>
    </row>
    <row r="12" spans="1:150" ht="35.75" customHeight="1" x14ac:dyDescent="0.25">
      <c r="A12" s="133" t="s">
        <v>183</v>
      </c>
      <c r="B12" s="133" t="str">
        <f>+A12</f>
        <v>% Gross margin</v>
      </c>
      <c r="C12" s="133" t="str">
        <f>+A12</f>
        <v>% Gross margin</v>
      </c>
      <c r="E12" s="134">
        <f>IFERROR(+E11/E9,0)</f>
        <v>0.71855362004380485</v>
      </c>
      <c r="G12" s="134">
        <f>+G11/G9</f>
        <v>0.74156405109594004</v>
      </c>
      <c r="I12" s="134">
        <f>+I11/I9</f>
        <v>0.72709390662925955</v>
      </c>
      <c r="K12" s="134">
        <f>+K11/K9</f>
        <v>0.71629828896519032</v>
      </c>
      <c r="M12" s="134">
        <f>+M11/M9</f>
        <v>0.72987993251457028</v>
      </c>
      <c r="O12" s="134">
        <f>+O11/O9</f>
        <v>0.71735679987141621</v>
      </c>
      <c r="Q12" s="125" t="str">
        <f>IF(E12&gt;G12,"increase","decrease")</f>
        <v>decrease</v>
      </c>
      <c r="S12" s="125" t="str">
        <f>IF(G12&gt;I12,"increase","decrease")</f>
        <v>increase</v>
      </c>
      <c r="W12" s="135">
        <f>(+E12-G12)</f>
        <v>-2.3010431052135183E-2</v>
      </c>
      <c r="X12" s="137"/>
      <c r="Y12" s="135">
        <f>(+G12-I12)</f>
        <v>1.447014446668049E-2</v>
      </c>
      <c r="Z12" s="173"/>
      <c r="AV12" s="127">
        <f t="shared" si="0"/>
        <v>6</v>
      </c>
      <c r="AX12" s="174"/>
      <c r="AZ12" s="134">
        <f>+AZ11/AZ9</f>
        <v>0.70590642244588286</v>
      </c>
      <c r="BA12" s="134">
        <f>IFERROR(+BA11/BA9,0)</f>
        <v>0.72378061601332733</v>
      </c>
      <c r="BB12" s="134">
        <f>IFERROR(+BB11/BB9,0)</f>
        <v>0.71855362004380485</v>
      </c>
      <c r="BC12" s="134">
        <f>IFERROR(+BC11/BC9,0)</f>
        <v>0</v>
      </c>
      <c r="BD12" s="134">
        <f>+BD11/BD9</f>
        <v>0.71629828896519032</v>
      </c>
      <c r="BF12" s="134">
        <f>+BF11/BF9</f>
        <v>0.70389241184144768</v>
      </c>
      <c r="BG12" s="134">
        <f>+BG11/BG9</f>
        <v>0.74221716258733605</v>
      </c>
      <c r="BH12" s="134">
        <f>+BH11/BH9</f>
        <v>0.74156405109594004</v>
      </c>
      <c r="BI12" s="134">
        <f>+BI11/BI9</f>
        <v>0.72230756697623533</v>
      </c>
      <c r="BJ12" s="134">
        <f>+BJ11/BJ9</f>
        <v>0.72790721294725624</v>
      </c>
      <c r="BL12" s="134">
        <f>+BL11/BL9</f>
        <v>0.71161322525537285</v>
      </c>
      <c r="BM12" s="134">
        <f>+BM11/BM9</f>
        <v>0.71241136921393078</v>
      </c>
      <c r="BN12" s="134">
        <f>+BN11/BN9</f>
        <v>0.72709390662925955</v>
      </c>
      <c r="BO12" s="134">
        <f>+BO11/BO9</f>
        <v>0.70750743476915212</v>
      </c>
      <c r="BP12" s="134">
        <f>+BP11/BP9</f>
        <v>0.71490303947648526</v>
      </c>
      <c r="BR12" s="134">
        <f>+BR11/BR9</f>
        <v>0.71173070784119352</v>
      </c>
      <c r="BS12" s="134">
        <f>+BS11/BS9</f>
        <v>0.7244166863068584</v>
      </c>
      <c r="BT12" s="134">
        <f>+BT11/BT9</f>
        <v>0.72577593809564456</v>
      </c>
      <c r="BU12" s="134">
        <f>+BU11/BU9</f>
        <v>0.7214605750573293</v>
      </c>
      <c r="BV12" s="134">
        <f>+BV11/BV9</f>
        <v>0.72112920097530153</v>
      </c>
      <c r="BX12" s="134">
        <f>+BX11/BX9</f>
        <v>0.65339863431117184</v>
      </c>
      <c r="BY12" s="134">
        <f>+BY11/BY9</f>
        <v>0.66657112009248909</v>
      </c>
      <c r="BZ12" s="134">
        <f>+BZ11/BZ9</f>
        <v>0.69032091054086331</v>
      </c>
      <c r="CA12" s="134">
        <f>+CA11/CA9</f>
        <v>0.68485840151038391</v>
      </c>
      <c r="CB12" s="134">
        <f>+CB11/CB9</f>
        <v>0.6749536144605508</v>
      </c>
      <c r="CD12" s="134">
        <f>+CD11/CD9</f>
        <v>0.55853158972743033</v>
      </c>
      <c r="CE12" s="134">
        <f>+CE11/CE9</f>
        <v>0.54006412034212303</v>
      </c>
      <c r="CF12" s="134">
        <f>+CF11/CF9</f>
        <v>0.62857450326266673</v>
      </c>
      <c r="CG12" s="134">
        <f>+CG11/CG9</f>
        <v>0.65135618395284811</v>
      </c>
      <c r="CH12" s="134">
        <f>+CH11/CH9</f>
        <v>0.59875135322619633</v>
      </c>
      <c r="CJ12" s="136">
        <f>+CJ11/CJ9</f>
        <v>0.6213603111843895</v>
      </c>
      <c r="CK12" s="136">
        <f>+CK11/CK9</f>
        <v>0.62250817749799425</v>
      </c>
      <c r="CL12" s="136">
        <f>+CL11/CL9</f>
        <v>0.56463928218842552</v>
      </c>
      <c r="CM12" s="136">
        <f>+CM11/CM9</f>
        <v>0.51785075846570305</v>
      </c>
      <c r="CN12" s="136">
        <f>+CN11/CN9</f>
        <v>0.57734752468314543</v>
      </c>
      <c r="CP12" s="136">
        <f>+CP11/CP9</f>
        <v>0.48540325512757448</v>
      </c>
      <c r="CQ12" s="136">
        <f>+CQ11/CQ9</f>
        <v>0.55549589913539332</v>
      </c>
      <c r="CR12" s="136">
        <f>+CR11/CR9</f>
        <v>0.58515586678168496</v>
      </c>
      <c r="CS12" s="136">
        <f>+CS11/CS9</f>
        <v>0.6047168244477662</v>
      </c>
      <c r="CT12" s="136">
        <f>+CT11/CT9</f>
        <v>0.56203742827156622</v>
      </c>
      <c r="CV12" s="136">
        <f>+CV11/CV9</f>
        <v>0.42792401007095443</v>
      </c>
      <c r="CX12" s="175"/>
      <c r="CZ12" s="134">
        <f>+CZ11/CZ9</f>
        <v>0.70590642244588286</v>
      </c>
      <c r="DA12" s="134">
        <f>+DA11/DA9</f>
        <v>0.71507896105620783</v>
      </c>
      <c r="DB12" s="134">
        <f>+DB11/DB9</f>
        <v>0.71629828896519032</v>
      </c>
      <c r="DC12" s="134">
        <f>+DC11/DC9</f>
        <v>0.71629828896519032</v>
      </c>
      <c r="DD12" s="134">
        <f>+DD11/DD9</f>
        <v>0.71629828896519032</v>
      </c>
      <c r="DF12" s="134">
        <f>+DF11/DF9</f>
        <v>0.70389241184144768</v>
      </c>
      <c r="DG12" s="134">
        <f>+DG11/DG9</f>
        <v>0.72340893164298914</v>
      </c>
      <c r="DH12" s="134">
        <f>+DH11/DH9</f>
        <v>0.72987993251457028</v>
      </c>
      <c r="DI12" s="134">
        <f>+DI11/DI9</f>
        <v>0.72790721294725624</v>
      </c>
      <c r="DJ12" s="134">
        <f>+DJ11/DJ9</f>
        <v>0.72790721294725624</v>
      </c>
      <c r="DL12" s="134">
        <f>+DL11/DL9</f>
        <v>0.71161322525537285</v>
      </c>
      <c r="DM12" s="134">
        <f>+DM11/DM9</f>
        <v>0.71201899482273567</v>
      </c>
      <c r="DN12" s="134">
        <f>+DN11/DN9</f>
        <v>0.71735679987141621</v>
      </c>
      <c r="DO12" s="134">
        <f>+DO11/DO9</f>
        <v>0.71490303947648526</v>
      </c>
      <c r="DP12" s="134">
        <f>+DP11/DP9</f>
        <v>0.71490303947648526</v>
      </c>
      <c r="DR12" s="134">
        <f>+DR11/DR9</f>
        <v>0.71173070784119352</v>
      </c>
      <c r="DS12" s="134">
        <f>+DS11/DS9</f>
        <v>0.71828618752232798</v>
      </c>
      <c r="DT12" s="134">
        <f>+DT11/DT9</f>
        <v>0.72100782566445787</v>
      </c>
      <c r="DU12" s="134">
        <f>+DU11/DU9</f>
        <v>0.72112920097530153</v>
      </c>
      <c r="DV12" s="134">
        <f>+DV11/DV9</f>
        <v>0.72112920097530153</v>
      </c>
      <c r="DX12" s="134">
        <f>+DX11/DX9</f>
        <v>0.65339863431117184</v>
      </c>
      <c r="DY12" s="134">
        <f>+DY11/DY9</f>
        <v>0.66015345569285344</v>
      </c>
      <c r="DZ12" s="134">
        <f>+DZ11/DZ9</f>
        <v>0.67130871913318158</v>
      </c>
      <c r="EA12" s="134">
        <f>+EA11/EA9</f>
        <v>0.6749536144605508</v>
      </c>
      <c r="EB12" s="134">
        <f>+EB11/EB9</f>
        <v>0.6749536144605508</v>
      </c>
      <c r="ED12" s="134">
        <f>+ED11/ED9</f>
        <v>0.55853158972743033</v>
      </c>
      <c r="EE12" s="134">
        <f>+EE11/EE9</f>
        <v>0.54888968688822737</v>
      </c>
      <c r="EF12" s="134">
        <f>+EF11/EF9</f>
        <v>0.57852228863721522</v>
      </c>
      <c r="EG12" s="134">
        <f>+EG11/EG9</f>
        <v>0.59875135322619633</v>
      </c>
      <c r="EH12" s="134">
        <f>+EH11/EH9</f>
        <v>0.59875135322619633</v>
      </c>
      <c r="EJ12" s="134">
        <f>+EJ11/EJ9</f>
        <v>0.6213603111843895</v>
      </c>
      <c r="EK12" s="134">
        <f>+EK11/EK9</f>
        <v>0.62194480016970055</v>
      </c>
      <c r="EL12" s="134">
        <f>+EL11/EL9</f>
        <v>0.59982441245706786</v>
      </c>
      <c r="EM12" s="134">
        <f>+EM11/EM9</f>
        <v>0.57734752468314543</v>
      </c>
      <c r="EN12" s="134">
        <f>+EN11/EN9</f>
        <v>0.57734752468314543</v>
      </c>
      <c r="EP12" s="134">
        <f>+EP11/EP9</f>
        <v>0.48540325512757448</v>
      </c>
      <c r="EQ12" s="134">
        <f>+EQ11/EQ9</f>
        <v>0.52297310707551847</v>
      </c>
      <c r="ER12" s="134">
        <f>+ER11/ER9</f>
        <v>0.54596568912571686</v>
      </c>
      <c r="ES12" s="134">
        <f>+ES11/ES9</f>
        <v>0.56203742827156622</v>
      </c>
      <c r="ET12" s="134">
        <f>+ET11/ET9</f>
        <v>0.56203742827156622</v>
      </c>
    </row>
    <row r="13" spans="1:150" ht="15.75" customHeight="1" x14ac:dyDescent="0.25">
      <c r="G13" s="125"/>
      <c r="W13" s="137" t="str">
        <f>IF(W12&lt;=-0.015,"pts",IF(W12&gt;=0.015,"pts","pt"))</f>
        <v>pts</v>
      </c>
      <c r="X13" s="137"/>
      <c r="Y13" s="137" t="str">
        <f>IF(Y12&lt;=-0.015,"pts",IF(Y12&gt;=0.015,"pts","pt"))</f>
        <v>pt</v>
      </c>
      <c r="Z13" s="46"/>
      <c r="AV13" s="127">
        <f t="shared" si="0"/>
        <v>7</v>
      </c>
      <c r="AX13" s="167"/>
      <c r="CX13" s="167"/>
    </row>
    <row r="14" spans="1:150" ht="15.75" customHeight="1" x14ac:dyDescent="0.25">
      <c r="W14" s="138" t="str">
        <f>ROUND(+W12*100,0)&amp;" "&amp;W13</f>
        <v>-2 pts</v>
      </c>
      <c r="X14" s="137"/>
      <c r="Y14" s="138" t="str">
        <f>ROUND(+Y12*100,0)&amp;" "&amp;Y13</f>
        <v>1 pt</v>
      </c>
      <c r="Z14" s="46"/>
      <c r="AV14" s="127">
        <f t="shared" si="0"/>
        <v>8</v>
      </c>
      <c r="AX14" s="167"/>
      <c r="CX14" s="167"/>
    </row>
    <row r="15" spans="1:150" ht="15.75" customHeight="1" x14ac:dyDescent="0.25">
      <c r="A15" s="22" t="s">
        <v>184</v>
      </c>
      <c r="B15" s="22" t="str">
        <f t="shared" ref="B15:B20" si="1">+A15</f>
        <v>Operating expenses</v>
      </c>
      <c r="C15" s="22" t="str">
        <f t="shared" ref="C15:C20" si="2">+A15</f>
        <v>Operating expenses</v>
      </c>
      <c r="W15" s="102"/>
      <c r="X15" s="125"/>
      <c r="Y15" s="102"/>
      <c r="AV15" s="127">
        <f t="shared" si="0"/>
        <v>9</v>
      </c>
      <c r="AX15" s="167"/>
      <c r="CX15" s="167"/>
    </row>
    <row r="16" spans="1:150" ht="23.25" customHeight="1" x14ac:dyDescent="0.25">
      <c r="A16" s="130" t="s">
        <v>185</v>
      </c>
      <c r="B16" s="130" t="str">
        <f t="shared" si="1"/>
        <v>Research and development</v>
      </c>
      <c r="C16" s="130" t="str">
        <f t="shared" si="2"/>
        <v>Research and development</v>
      </c>
      <c r="E16" s="124">
        <f>HLOOKUP(E$7,$AX$7:$CX$44,$AV16,FALSE)</f>
        <v>42735000</v>
      </c>
      <c r="G16" s="124">
        <f>HLOOKUP(G$7,$AX$7:$CX$44,$AV16,FALSE)</f>
        <v>37788000</v>
      </c>
      <c r="I16" s="124">
        <f>HLOOKUP(I$7,$AX$7:$CX$44,$AV16,FALSE)</f>
        <v>43175000</v>
      </c>
      <c r="K16" s="124">
        <f>HLOOKUP(K$7,$CX$7:$ET$44,$AV16,FALSE)</f>
        <v>130742000</v>
      </c>
      <c r="M16" s="124">
        <f>HLOOKUP(M$7,$CX$7:$ET$44,$AV16,FALSE)</f>
        <v>106040000</v>
      </c>
      <c r="O16" s="124">
        <f>HLOOKUP(O$7,$CX$7:$ET$44,$AV16,FALSE)</f>
        <v>136975000</v>
      </c>
      <c r="Q16" s="125" t="str">
        <f>IF(E16&gt;G16,"increase","decrease")</f>
        <v>increase</v>
      </c>
      <c r="S16" s="125" t="str">
        <f>IF(G16&gt;I16,"increase","decrease")</f>
        <v>decrease</v>
      </c>
      <c r="W16" s="125" t="str">
        <f>IF(E16&gt;G16,"an increase","a decrease")</f>
        <v>an increase</v>
      </c>
      <c r="Y16" s="125" t="str">
        <f>IF(G16&gt;I16,"an increase","a decrease")</f>
        <v>a decrease</v>
      </c>
      <c r="AO16" s="126">
        <f>+AP16/ABS(G16)</f>
        <v>0.13091457605589077</v>
      </c>
      <c r="AP16" s="72">
        <f>+E16-G16</f>
        <v>4947000</v>
      </c>
      <c r="AR16" s="126">
        <f>+AS16/ABS(M16)</f>
        <v>0.23294983025273483</v>
      </c>
      <c r="AS16" s="72">
        <f>+K16-M16</f>
        <v>24702000</v>
      </c>
      <c r="AV16" s="127">
        <f t="shared" si="0"/>
        <v>10</v>
      </c>
      <c r="AX16" s="172"/>
      <c r="AZ16" s="72">
        <v>44118000</v>
      </c>
      <c r="BA16" s="72">
        <v>43889000</v>
      </c>
      <c r="BB16" s="72">
        <v>42735000</v>
      </c>
      <c r="BC16" s="72">
        <v>0</v>
      </c>
      <c r="BD16" s="72">
        <f>SUM(AZ16:BC16)</f>
        <v>130742000</v>
      </c>
      <c r="BF16" s="72">
        <v>34519000</v>
      </c>
      <c r="BG16" s="72">
        <v>33733000</v>
      </c>
      <c r="BH16" s="72">
        <v>37788000</v>
      </c>
      <c r="BI16" s="72">
        <v>45161000</v>
      </c>
      <c r="BJ16" s="72">
        <f>SUM(BF16:BI16)</f>
        <v>151201000</v>
      </c>
      <c r="BL16" s="72">
        <v>47661000</v>
      </c>
      <c r="BM16" s="72">
        <v>46139000</v>
      </c>
      <c r="BN16" s="72">
        <v>43175000</v>
      </c>
      <c r="BO16" s="72">
        <v>52220000</v>
      </c>
      <c r="BP16" s="72">
        <f>SUM(BL16:BO16)</f>
        <v>189195000</v>
      </c>
      <c r="BR16" s="72">
        <v>34776000</v>
      </c>
      <c r="BS16" s="72">
        <v>35788000</v>
      </c>
      <c r="BT16" s="72">
        <v>41870000</v>
      </c>
      <c r="BU16" s="72">
        <v>45501000</v>
      </c>
      <c r="BV16" s="72">
        <f>SUM(BR16:BU16)</f>
        <v>157935000</v>
      </c>
      <c r="BX16" s="72">
        <v>26989000</v>
      </c>
      <c r="BY16" s="72">
        <v>31035000</v>
      </c>
      <c r="BZ16" s="72">
        <v>30608000</v>
      </c>
      <c r="CA16" s="72">
        <v>46479000</v>
      </c>
      <c r="CB16" s="72">
        <f>SUM(BX16:CA16)</f>
        <v>135111000</v>
      </c>
      <c r="CD16" s="72">
        <v>23722000</v>
      </c>
      <c r="CE16" s="72">
        <v>26445000</v>
      </c>
      <c r="CF16" s="72">
        <v>27403000</v>
      </c>
      <c r="CG16" s="72">
        <v>28411000</v>
      </c>
      <c r="CH16" s="72">
        <f>SUM(CD16:CG16)</f>
        <v>105981000</v>
      </c>
      <c r="CJ16" s="72">
        <v>16970000</v>
      </c>
      <c r="CK16" s="72">
        <v>16940000</v>
      </c>
      <c r="CL16" s="72">
        <v>20469000</v>
      </c>
      <c r="CM16" s="72">
        <v>31318000</v>
      </c>
      <c r="CN16" s="72">
        <f>SUM(CJ16:CM16)</f>
        <v>85697000</v>
      </c>
      <c r="CP16" s="72">
        <v>14840000</v>
      </c>
      <c r="CQ16" s="72">
        <v>15599000</v>
      </c>
      <c r="CR16" s="72">
        <v>14311000</v>
      </c>
      <c r="CS16" s="72">
        <v>15963000</v>
      </c>
      <c r="CT16" s="72">
        <v>60713000</v>
      </c>
      <c r="CV16" s="72">
        <v>49367000</v>
      </c>
      <c r="CX16" s="167"/>
      <c r="CZ16" s="71">
        <f>+AZ16</f>
        <v>44118000</v>
      </c>
      <c r="DA16" s="71">
        <f>SUM($AZ16:BA16)</f>
        <v>88007000</v>
      </c>
      <c r="DB16" s="71">
        <f>SUM($AZ16:BB16)</f>
        <v>130742000</v>
      </c>
      <c r="DC16" s="71">
        <f>SUM($AZ16:BC16)</f>
        <v>130742000</v>
      </c>
      <c r="DD16" s="71">
        <f>+DC16</f>
        <v>130742000</v>
      </c>
      <c r="DF16" s="71">
        <f>+BF16</f>
        <v>34519000</v>
      </c>
      <c r="DG16" s="71">
        <f>SUM($BF16:BG16)</f>
        <v>68252000</v>
      </c>
      <c r="DH16" s="71">
        <f>SUM($BF16:BH16)</f>
        <v>106040000</v>
      </c>
      <c r="DI16" s="71">
        <f>SUM($BF16:BI16)</f>
        <v>151201000</v>
      </c>
      <c r="DJ16" s="71">
        <f>+DI16</f>
        <v>151201000</v>
      </c>
      <c r="DL16" s="71">
        <f>+BL16</f>
        <v>47661000</v>
      </c>
      <c r="DM16" s="71">
        <f>SUM($BL16:BM16)</f>
        <v>93800000</v>
      </c>
      <c r="DN16" s="71">
        <f>SUM($BL16:BN16)</f>
        <v>136975000</v>
      </c>
      <c r="DO16" s="71">
        <f>SUM($BL16:BO16)</f>
        <v>189195000</v>
      </c>
      <c r="DP16" s="71">
        <f>+DO16</f>
        <v>189195000</v>
      </c>
      <c r="DR16" s="71">
        <f>+BR16</f>
        <v>34776000</v>
      </c>
      <c r="DS16" s="71">
        <f>SUM($BR16:BS16)</f>
        <v>70564000</v>
      </c>
      <c r="DT16" s="71">
        <f>SUM($BR16:BT16)</f>
        <v>112434000</v>
      </c>
      <c r="DU16" s="71">
        <f>SUM($BR16:BU16)</f>
        <v>157935000</v>
      </c>
      <c r="DV16" s="71">
        <f>+DU16</f>
        <v>157935000</v>
      </c>
      <c r="DX16" s="71">
        <f>+BX16</f>
        <v>26989000</v>
      </c>
      <c r="DY16" s="71">
        <f>SUM($BX16:BY16)</f>
        <v>58024000</v>
      </c>
      <c r="DZ16" s="71">
        <f>SUM($BX16:BZ16)</f>
        <v>88632000</v>
      </c>
      <c r="EA16" s="71">
        <f>SUM($BX16:CA16)</f>
        <v>135111000</v>
      </c>
      <c r="EB16" s="71">
        <f>+EA16</f>
        <v>135111000</v>
      </c>
      <c r="ED16" s="71">
        <f>+CD16</f>
        <v>23722000</v>
      </c>
      <c r="EE16" s="71">
        <f>SUM($CD16:CE16)</f>
        <v>50167000</v>
      </c>
      <c r="EF16" s="71">
        <f>SUM($CD16:CF16)</f>
        <v>77570000</v>
      </c>
      <c r="EG16" s="71">
        <f>SUM($CD16:CG16)</f>
        <v>105981000</v>
      </c>
      <c r="EH16" s="71">
        <f>+EG16</f>
        <v>105981000</v>
      </c>
      <c r="EJ16" s="71">
        <f>+CJ16</f>
        <v>16970000</v>
      </c>
      <c r="EK16" s="71">
        <f>SUM($CJ16:CK16)</f>
        <v>33910000</v>
      </c>
      <c r="EL16" s="71">
        <f>SUM($CJ16:CL16)</f>
        <v>54379000</v>
      </c>
      <c r="EM16" s="71">
        <f>SUM($CJ16:CM16)</f>
        <v>85697000</v>
      </c>
      <c r="EN16" s="71">
        <f>+EM16</f>
        <v>85697000</v>
      </c>
      <c r="EP16" s="71">
        <f>+CP16</f>
        <v>14840000</v>
      </c>
      <c r="EQ16" s="71">
        <f>SUM($CP16:CQ16)</f>
        <v>30439000</v>
      </c>
      <c r="ER16" s="71">
        <f>SUM($CP16:CR16)</f>
        <v>44750000</v>
      </c>
      <c r="ES16" s="71">
        <f>SUM($CP16:CS16)</f>
        <v>60713000</v>
      </c>
      <c r="ET16" s="71">
        <f>+ES16</f>
        <v>60713000</v>
      </c>
    </row>
    <row r="17" spans="1:150" ht="15.75" customHeight="1" x14ac:dyDescent="0.25">
      <c r="A17" s="130" t="s">
        <v>186</v>
      </c>
      <c r="B17" s="130" t="str">
        <f t="shared" si="1"/>
        <v>Sales and marketing</v>
      </c>
      <c r="C17" s="130" t="str">
        <f t="shared" si="2"/>
        <v>Sales and marketing</v>
      </c>
      <c r="E17" s="124">
        <f>HLOOKUP(E$7,$AX$7:$CX$44,$AV17,FALSE)</f>
        <v>50863000</v>
      </c>
      <c r="G17" s="124">
        <f>HLOOKUP(G$7,$AX$7:$CX$44,$AV17,FALSE)</f>
        <v>46203000</v>
      </c>
      <c r="I17" s="124">
        <f>HLOOKUP(I$7,$AX$7:$CX$44,$AV17,FALSE)</f>
        <v>47702000</v>
      </c>
      <c r="K17" s="124">
        <f>HLOOKUP(K$7,$CX$7:$ET$44,$AV17,FALSE)</f>
        <v>156145000</v>
      </c>
      <c r="M17" s="124">
        <f>HLOOKUP(M$7,$CX$7:$ET$44,$AV17,FALSE)</f>
        <v>135217000</v>
      </c>
      <c r="O17" s="124">
        <f>HLOOKUP(O$7,$CX$7:$ET$44,$AV17,FALSE)</f>
        <v>144931000</v>
      </c>
      <c r="Q17" s="125" t="str">
        <f>IF(E17&gt;G17,"increase","decrease")</f>
        <v>increase</v>
      </c>
      <c r="S17" s="125" t="str">
        <f>IF(G17&gt;I17,"increase","decrease")</f>
        <v>decrease</v>
      </c>
      <c r="W17" s="125" t="str">
        <f>IF(E17&gt;G17,"an increase","a decrease")</f>
        <v>an increase</v>
      </c>
      <c r="Y17" s="125" t="str">
        <f>IF(G17&gt;I17,"an increase","a decrease")</f>
        <v>a decrease</v>
      </c>
      <c r="AO17" s="126">
        <f>+AP17/ABS(G17)</f>
        <v>0.10085925156375126</v>
      </c>
      <c r="AP17" s="72">
        <f>+E17-G17</f>
        <v>4660000</v>
      </c>
      <c r="AR17" s="126">
        <f>+AS17/ABS(M17)</f>
        <v>0.15477343825110748</v>
      </c>
      <c r="AS17" s="72">
        <f>+K17-M17</f>
        <v>20928000</v>
      </c>
      <c r="AV17" s="127">
        <f t="shared" si="0"/>
        <v>11</v>
      </c>
      <c r="AX17" s="172"/>
      <c r="AZ17" s="72">
        <v>54175000</v>
      </c>
      <c r="BA17" s="72">
        <v>51107000</v>
      </c>
      <c r="BB17" s="72">
        <v>50863000</v>
      </c>
      <c r="BC17" s="72">
        <v>0</v>
      </c>
      <c r="BD17" s="72">
        <f>SUM(AZ17:BC17)</f>
        <v>156145000</v>
      </c>
      <c r="BF17" s="72">
        <v>44879000</v>
      </c>
      <c r="BG17" s="72">
        <v>44135000</v>
      </c>
      <c r="BH17" s="72">
        <v>46203000</v>
      </c>
      <c r="BI17" s="72">
        <v>60476000</v>
      </c>
      <c r="BJ17" s="72">
        <f>SUM(BF17:BI17)</f>
        <v>195693000</v>
      </c>
      <c r="BL17" s="72">
        <v>51280000</v>
      </c>
      <c r="BM17" s="72">
        <v>45949000</v>
      </c>
      <c r="BN17" s="72">
        <v>47702000</v>
      </c>
      <c r="BO17" s="72">
        <v>57506000</v>
      </c>
      <c r="BP17" s="72">
        <f>SUM(BL17:BO17)</f>
        <v>202437000</v>
      </c>
      <c r="BR17" s="72">
        <v>41979000</v>
      </c>
      <c r="BS17" s="72">
        <v>39509000</v>
      </c>
      <c r="BT17" s="72">
        <v>46324000</v>
      </c>
      <c r="BU17" s="72">
        <v>54951000</v>
      </c>
      <c r="BV17" s="72">
        <f>SUM(BR17:BU17)</f>
        <v>182763000</v>
      </c>
      <c r="BX17" s="72">
        <v>38627000</v>
      </c>
      <c r="BY17" s="72">
        <v>41705000</v>
      </c>
      <c r="BZ17" s="72">
        <v>43904000</v>
      </c>
      <c r="CA17" s="72">
        <v>53307000</v>
      </c>
      <c r="CB17" s="72">
        <f>SUM(BX17:CA17)</f>
        <v>177543000</v>
      </c>
      <c r="CD17" s="72">
        <v>43144000</v>
      </c>
      <c r="CE17" s="72">
        <v>45204000</v>
      </c>
      <c r="CF17" s="72">
        <v>51993000</v>
      </c>
      <c r="CG17" s="72">
        <v>48564000</v>
      </c>
      <c r="CH17" s="72">
        <f>SUM(CD17:CG17)</f>
        <v>188905000</v>
      </c>
      <c r="CJ17" s="72">
        <v>33323000</v>
      </c>
      <c r="CK17" s="72">
        <v>35940000</v>
      </c>
      <c r="CL17" s="72">
        <v>40054000</v>
      </c>
      <c r="CM17" s="72">
        <v>49223000</v>
      </c>
      <c r="CN17" s="72">
        <f>SUM(CJ17:CM17)</f>
        <v>158540000</v>
      </c>
      <c r="CP17" s="72">
        <v>24091000</v>
      </c>
      <c r="CQ17" s="72">
        <v>25981000</v>
      </c>
      <c r="CR17" s="72">
        <v>27832000</v>
      </c>
      <c r="CS17" s="72">
        <v>30735000</v>
      </c>
      <c r="CT17" s="72">
        <v>108639000</v>
      </c>
      <c r="CV17" s="72">
        <v>59258000</v>
      </c>
      <c r="CX17" s="167"/>
      <c r="CZ17" s="71">
        <f>+AZ17</f>
        <v>54175000</v>
      </c>
      <c r="DA17" s="71">
        <f>SUM($AZ17:BA17)</f>
        <v>105282000</v>
      </c>
      <c r="DB17" s="71">
        <f>SUM($AZ17:BB17)</f>
        <v>156145000</v>
      </c>
      <c r="DC17" s="71">
        <f>SUM($AZ17:BC17)</f>
        <v>156145000</v>
      </c>
      <c r="DD17" s="71">
        <f>+DC17</f>
        <v>156145000</v>
      </c>
      <c r="DF17" s="71">
        <f>+BF17</f>
        <v>44879000</v>
      </c>
      <c r="DG17" s="71">
        <f>SUM($BF17:BG17)</f>
        <v>89014000</v>
      </c>
      <c r="DH17" s="71">
        <f>SUM($BF17:BH17)</f>
        <v>135217000</v>
      </c>
      <c r="DI17" s="71">
        <f>SUM($BF17:BI17)</f>
        <v>195693000</v>
      </c>
      <c r="DJ17" s="71">
        <f>+DI17</f>
        <v>195693000</v>
      </c>
      <c r="DL17" s="71">
        <f>+BL17</f>
        <v>51280000</v>
      </c>
      <c r="DM17" s="71">
        <f>SUM($BL17:BM17)</f>
        <v>97229000</v>
      </c>
      <c r="DN17" s="71">
        <f>SUM($BL17:BN17)</f>
        <v>144931000</v>
      </c>
      <c r="DO17" s="71">
        <f>SUM($BL17:BO17)</f>
        <v>202437000</v>
      </c>
      <c r="DP17" s="71">
        <f>+DO17</f>
        <v>202437000</v>
      </c>
      <c r="DR17" s="71">
        <f>+BR17</f>
        <v>41979000</v>
      </c>
      <c r="DS17" s="71">
        <f>SUM($BR17:BS17)</f>
        <v>81488000</v>
      </c>
      <c r="DT17" s="71">
        <f>SUM($BR17:BT17)</f>
        <v>127812000</v>
      </c>
      <c r="DU17" s="71">
        <f>SUM($BR17:BU17)</f>
        <v>182763000</v>
      </c>
      <c r="DV17" s="71">
        <f>+DU17</f>
        <v>182763000</v>
      </c>
      <c r="DX17" s="71">
        <f>+BX17</f>
        <v>38627000</v>
      </c>
      <c r="DY17" s="71">
        <f>SUM($BX17:BY17)</f>
        <v>80332000</v>
      </c>
      <c r="DZ17" s="71">
        <f>SUM($BX17:BZ17)</f>
        <v>124236000</v>
      </c>
      <c r="EA17" s="71">
        <f>SUM($BX17:CA17)</f>
        <v>177543000</v>
      </c>
      <c r="EB17" s="71">
        <f>+EA17</f>
        <v>177543000</v>
      </c>
      <c r="ED17" s="71">
        <f>+CD17</f>
        <v>43144000</v>
      </c>
      <c r="EE17" s="71">
        <f>SUM($CD17:CE17)</f>
        <v>88348000</v>
      </c>
      <c r="EF17" s="71">
        <f>SUM($CD17:CF17)</f>
        <v>140341000</v>
      </c>
      <c r="EG17" s="71">
        <f>SUM($CD17:CG17)</f>
        <v>188905000</v>
      </c>
      <c r="EH17" s="71">
        <f>+EG17</f>
        <v>188905000</v>
      </c>
      <c r="EJ17" s="71">
        <f>+CJ17</f>
        <v>33323000</v>
      </c>
      <c r="EK17" s="71">
        <f>SUM($CJ17:CK17)</f>
        <v>69263000</v>
      </c>
      <c r="EL17" s="71">
        <f>SUM($CJ17:CL17)</f>
        <v>109317000</v>
      </c>
      <c r="EM17" s="71">
        <f>SUM($CJ17:CM17)</f>
        <v>158540000</v>
      </c>
      <c r="EN17" s="71">
        <f>+EM17</f>
        <v>158540000</v>
      </c>
      <c r="EP17" s="71">
        <f>+CP17</f>
        <v>24091000</v>
      </c>
      <c r="EQ17" s="71">
        <f>SUM($CP17:CQ17)</f>
        <v>50072000</v>
      </c>
      <c r="ER17" s="71">
        <f>SUM($CP17:CR17)</f>
        <v>77904000</v>
      </c>
      <c r="ES17" s="71">
        <f>SUM($CP17:CS17)</f>
        <v>108639000</v>
      </c>
      <c r="ET17" s="71">
        <f>+ES17</f>
        <v>108639000</v>
      </c>
    </row>
    <row r="18" spans="1:150" ht="23.25" customHeight="1" x14ac:dyDescent="0.25">
      <c r="A18" s="130" t="s">
        <v>187</v>
      </c>
      <c r="B18" s="130" t="str">
        <f t="shared" si="1"/>
        <v>General and administrative</v>
      </c>
      <c r="C18" s="130" t="str">
        <f t="shared" si="2"/>
        <v>General and administrative</v>
      </c>
      <c r="E18" s="124">
        <f>HLOOKUP(E$7,$AX$7:$CX$44,$AV18,FALSE)</f>
        <v>31994000</v>
      </c>
      <c r="G18" s="124">
        <f>HLOOKUP(G$7,$AX$7:$CX$44,$AV18,FALSE)</f>
        <v>27241000</v>
      </c>
      <c r="I18" s="124">
        <f>HLOOKUP(I$7,$AX$7:$CX$44,$AV18,FALSE)</f>
        <v>36657000</v>
      </c>
      <c r="K18" s="124">
        <f>HLOOKUP(K$7,$CX$7:$ET$44,$AV18,FALSE)</f>
        <v>94324000</v>
      </c>
      <c r="M18" s="124">
        <f>HLOOKUP(M$7,$CX$7:$ET$44,$AV18,FALSE)</f>
        <v>79914000</v>
      </c>
      <c r="O18" s="124">
        <f>HLOOKUP(O$7,$CX$7:$ET$44,$AV18,FALSE)</f>
        <v>92519000</v>
      </c>
      <c r="Q18" s="125" t="str">
        <f>IF(E18&gt;G18,"increase","decrease")</f>
        <v>increase</v>
      </c>
      <c r="S18" s="125" t="str">
        <f>IF(G18&gt;I18,"increase","decrease")</f>
        <v>decrease</v>
      </c>
      <c r="W18" s="125" t="str">
        <f>IF(E18&gt;G18,"an increase","a decrease")</f>
        <v>an increase</v>
      </c>
      <c r="Y18" s="125" t="str">
        <f>IF(G18&gt;I18,"an increase","a decrease")</f>
        <v>a decrease</v>
      </c>
      <c r="AO18" s="126">
        <f>+AP18/ABS(G18)</f>
        <v>0.17447964465327997</v>
      </c>
      <c r="AP18" s="72">
        <f>+E18-G18</f>
        <v>4753000</v>
      </c>
      <c r="AR18" s="126">
        <f>+AS18/ABS(M18)</f>
        <v>0.18031884275596266</v>
      </c>
      <c r="AS18" s="72">
        <f>+K18-M18</f>
        <v>14410000</v>
      </c>
      <c r="AV18" s="127">
        <f t="shared" si="0"/>
        <v>12</v>
      </c>
      <c r="AX18" s="172"/>
      <c r="AZ18" s="72">
        <v>30961000</v>
      </c>
      <c r="BA18" s="72">
        <v>31369000</v>
      </c>
      <c r="BB18" s="72">
        <v>31994000</v>
      </c>
      <c r="BC18" s="72">
        <v>0</v>
      </c>
      <c r="BD18" s="72">
        <f>SUM(AZ18:BC18)</f>
        <v>94324000</v>
      </c>
      <c r="BF18" s="72">
        <v>26664000</v>
      </c>
      <c r="BG18" s="72">
        <v>26009000</v>
      </c>
      <c r="BH18" s="72">
        <v>27241000</v>
      </c>
      <c r="BI18" s="72">
        <v>30252000</v>
      </c>
      <c r="BJ18" s="72">
        <f>SUM(BF18:BI18)</f>
        <v>110166000</v>
      </c>
      <c r="BL18" s="72">
        <v>27144000</v>
      </c>
      <c r="BM18" s="72">
        <v>28718000</v>
      </c>
      <c r="BN18" s="72">
        <v>36657000</v>
      </c>
      <c r="BO18" s="72">
        <v>32832000</v>
      </c>
      <c r="BP18" s="72">
        <f>SUM(BL18:BO18)</f>
        <v>125351000</v>
      </c>
      <c r="BR18" s="72">
        <v>24291000</v>
      </c>
      <c r="BS18" s="72">
        <v>23078000</v>
      </c>
      <c r="BT18" s="72">
        <v>27639000</v>
      </c>
      <c r="BU18" s="72">
        <v>29583000</v>
      </c>
      <c r="BV18" s="72">
        <f>SUM(BR18:BU18)</f>
        <v>104591000</v>
      </c>
      <c r="BX18" s="72">
        <v>23368000</v>
      </c>
      <c r="BY18" s="72">
        <v>24495000</v>
      </c>
      <c r="BZ18" s="72">
        <v>23943000</v>
      </c>
      <c r="CA18" s="72">
        <v>32395000</v>
      </c>
      <c r="CB18" s="72">
        <f>SUM(BX18:CA18)</f>
        <v>104201000</v>
      </c>
      <c r="CD18" s="72">
        <v>25318000</v>
      </c>
      <c r="CE18" s="72">
        <v>27262000</v>
      </c>
      <c r="CF18" s="72">
        <v>26107000</v>
      </c>
      <c r="CG18" s="72">
        <v>30216000</v>
      </c>
      <c r="CH18" s="72">
        <f>SUM(CD18:CG18)</f>
        <v>108903000</v>
      </c>
      <c r="CJ18" s="72">
        <v>18125000</v>
      </c>
      <c r="CK18" s="72">
        <v>25176000</v>
      </c>
      <c r="CL18" s="72">
        <v>27828000</v>
      </c>
      <c r="CM18" s="72">
        <v>27749000</v>
      </c>
      <c r="CN18" s="72">
        <f>SUM(CJ18:CM18)</f>
        <v>98878000</v>
      </c>
      <c r="CP18" s="72">
        <v>23587000</v>
      </c>
      <c r="CQ18" s="72">
        <v>23724000</v>
      </c>
      <c r="CR18" s="72">
        <v>20929000</v>
      </c>
      <c r="CS18" s="72">
        <v>16914000</v>
      </c>
      <c r="CT18" s="72">
        <v>85154000</v>
      </c>
      <c r="CV18" s="72">
        <v>92898000</v>
      </c>
      <c r="CX18" s="167"/>
      <c r="CZ18" s="71">
        <f>+AZ18</f>
        <v>30961000</v>
      </c>
      <c r="DA18" s="71">
        <f>SUM($AZ18:BA18)</f>
        <v>62330000</v>
      </c>
      <c r="DB18" s="71">
        <f>SUM($AZ18:BB18)</f>
        <v>94324000</v>
      </c>
      <c r="DC18" s="71">
        <f>SUM($AZ18:BC18)</f>
        <v>94324000</v>
      </c>
      <c r="DD18" s="71">
        <f>+DC18</f>
        <v>94324000</v>
      </c>
      <c r="DF18" s="71">
        <f>+BF18</f>
        <v>26664000</v>
      </c>
      <c r="DG18" s="71">
        <f>SUM($BF18:BG18)</f>
        <v>52673000</v>
      </c>
      <c r="DH18" s="71">
        <f>SUM($BF18:BH18)</f>
        <v>79914000</v>
      </c>
      <c r="DI18" s="71">
        <f>SUM($BF18:BI18)</f>
        <v>110166000</v>
      </c>
      <c r="DJ18" s="71">
        <f>+DI18</f>
        <v>110166000</v>
      </c>
      <c r="DL18" s="71">
        <f>+BL18</f>
        <v>27144000</v>
      </c>
      <c r="DM18" s="71">
        <f>SUM($BL18:BM18)</f>
        <v>55862000</v>
      </c>
      <c r="DN18" s="71">
        <f>SUM($BL18:BN18)</f>
        <v>92519000</v>
      </c>
      <c r="DO18" s="71">
        <f>SUM($BL18:BO18)</f>
        <v>125351000</v>
      </c>
      <c r="DP18" s="71">
        <f>+DO18</f>
        <v>125351000</v>
      </c>
      <c r="DR18" s="71">
        <f>+BR18</f>
        <v>24291000</v>
      </c>
      <c r="DS18" s="71">
        <f>SUM($BR18:BS18)</f>
        <v>47369000</v>
      </c>
      <c r="DT18" s="71">
        <f>SUM($BR18:BT18)</f>
        <v>75008000</v>
      </c>
      <c r="DU18" s="71">
        <f>SUM($BR18:BU18)</f>
        <v>104591000</v>
      </c>
      <c r="DV18" s="71">
        <f>+DU18</f>
        <v>104591000</v>
      </c>
      <c r="DX18" s="71">
        <f>+BX18</f>
        <v>23368000</v>
      </c>
      <c r="DY18" s="71">
        <f>SUM($BX18:BY18)</f>
        <v>47863000</v>
      </c>
      <c r="DZ18" s="71">
        <f>SUM($BX18:BZ18)</f>
        <v>71806000</v>
      </c>
      <c r="EA18" s="71">
        <f>SUM($BX18:CA18)</f>
        <v>104201000</v>
      </c>
      <c r="EB18" s="71">
        <f>+EA18</f>
        <v>104201000</v>
      </c>
      <c r="ED18" s="71">
        <f>+CD18</f>
        <v>25318000</v>
      </c>
      <c r="EE18" s="71">
        <f>SUM($CD18:CE18)</f>
        <v>52580000</v>
      </c>
      <c r="EF18" s="71">
        <f>SUM($CD18:CF18)</f>
        <v>78687000</v>
      </c>
      <c r="EG18" s="71">
        <f>SUM($CD18:CG18)</f>
        <v>108903000</v>
      </c>
      <c r="EH18" s="71">
        <f>+EG18</f>
        <v>108903000</v>
      </c>
      <c r="EJ18" s="71">
        <f>+CJ18</f>
        <v>18125000</v>
      </c>
      <c r="EK18" s="71">
        <f>SUM($CJ18:CK18)</f>
        <v>43301000</v>
      </c>
      <c r="EL18" s="71">
        <f>SUM($CJ18:CL18)</f>
        <v>71129000</v>
      </c>
      <c r="EM18" s="71">
        <f>SUM($CJ18:CM18)</f>
        <v>98878000</v>
      </c>
      <c r="EN18" s="71">
        <f>+EM18</f>
        <v>98878000</v>
      </c>
      <c r="EP18" s="71">
        <f>+CP18</f>
        <v>23587000</v>
      </c>
      <c r="EQ18" s="71">
        <f>SUM($CP18:CQ18)</f>
        <v>47311000</v>
      </c>
      <c r="ER18" s="71">
        <f>SUM($CP18:CR18)</f>
        <v>68240000</v>
      </c>
      <c r="ES18" s="71">
        <f>SUM($CP18:CS18)</f>
        <v>85154000</v>
      </c>
      <c r="ET18" s="71">
        <f>+ES18</f>
        <v>85154000</v>
      </c>
    </row>
    <row r="19" spans="1:150" ht="23.25" customHeight="1" x14ac:dyDescent="0.25">
      <c r="A19" s="130" t="s">
        <v>188</v>
      </c>
      <c r="B19" s="130" t="str">
        <f t="shared" si="1"/>
        <v>Gains, losses and other items, net</v>
      </c>
      <c r="C19" s="130" t="str">
        <f t="shared" si="2"/>
        <v>Gains, losses and other items, net</v>
      </c>
      <c r="E19" s="128">
        <f>HLOOKUP(E$7,$AX$7:$CX$44,$AV19,FALSE)</f>
        <v>149000</v>
      </c>
      <c r="G19" s="128">
        <f>HLOOKUP(G$7,$AX$7:$CX$44,$AV19,FALSE)</f>
        <v>2502000</v>
      </c>
      <c r="I19" s="128">
        <f>HLOOKUP(I$7,$AX$7:$CX$44,$AV19,FALSE)</f>
        <v>11743000</v>
      </c>
      <c r="K19" s="128">
        <f>HLOOKUP(K$7,$CX$7:$ET$44,$AV19,FALSE)</f>
        <v>752000</v>
      </c>
      <c r="M19" s="128">
        <f>HLOOKUP(M$7,$CX$7:$ET$44,$AV19,FALSE)</f>
        <v>9192000</v>
      </c>
      <c r="O19" s="128">
        <f>HLOOKUP(O$7,$CX$7:$ET$44,$AV19,FALSE)</f>
        <v>25593000</v>
      </c>
      <c r="Q19" s="125" t="str">
        <f>IF(E19&gt;G19,"increase","decrease")</f>
        <v>decrease</v>
      </c>
      <c r="S19" s="125" t="str">
        <f>IF(G19&gt;I19,"increase","decrease")</f>
        <v>decrease</v>
      </c>
      <c r="W19" s="125" t="str">
        <f>IF(E19&gt;G19,"an increase","a decrease")</f>
        <v>a decrease</v>
      </c>
      <c r="Y19" s="125" t="str">
        <f>IF(G19&gt;I19,"an increase","a decrease")</f>
        <v>a decrease</v>
      </c>
      <c r="AO19" s="126">
        <f>+AP19/ABS(G19)</f>
        <v>-0.94044764188649077</v>
      </c>
      <c r="AP19" s="72">
        <f>+E19-G19</f>
        <v>-2353000</v>
      </c>
      <c r="AR19" s="126">
        <f>+AS19/ABS(M19)</f>
        <v>-0.91818973020017403</v>
      </c>
      <c r="AS19" s="72">
        <f>+K19-M19</f>
        <v>-8440000</v>
      </c>
      <c r="AV19" s="127">
        <f t="shared" si="0"/>
        <v>13</v>
      </c>
      <c r="AX19" s="172"/>
      <c r="AZ19" s="75">
        <v>206000</v>
      </c>
      <c r="BA19" s="75">
        <v>397000</v>
      </c>
      <c r="BB19" s="75">
        <v>149000</v>
      </c>
      <c r="BC19" s="75">
        <v>0</v>
      </c>
      <c r="BD19" s="75">
        <f>SUM(AZ19:BC19)</f>
        <v>752000</v>
      </c>
      <c r="BF19" s="75">
        <v>116000</v>
      </c>
      <c r="BG19" s="75">
        <v>6574000</v>
      </c>
      <c r="BH19" s="75">
        <v>2502000</v>
      </c>
      <c r="BI19" s="75">
        <v>2516000</v>
      </c>
      <c r="BJ19" s="75">
        <f>SUM(BF19:BI19)</f>
        <v>11708000</v>
      </c>
      <c r="BL19" s="75">
        <v>739000</v>
      </c>
      <c r="BM19" s="75">
        <v>13111000</v>
      </c>
      <c r="BN19" s="75">
        <v>11743000</v>
      </c>
      <c r="BO19" s="75">
        <v>9723000</v>
      </c>
      <c r="BP19" s="75">
        <f>SUM(BL19:BO19)</f>
        <v>35316000</v>
      </c>
      <c r="BR19" s="75">
        <v>1278000</v>
      </c>
      <c r="BS19" s="75">
        <v>18000</v>
      </c>
      <c r="BT19" s="75">
        <v>0</v>
      </c>
      <c r="BU19" s="75">
        <v>183000</v>
      </c>
      <c r="BV19" s="75">
        <f>SUM(BR19:BU19)</f>
        <v>1479000</v>
      </c>
      <c r="BX19" s="75">
        <v>1995000</v>
      </c>
      <c r="BY19" s="75">
        <v>-619000</v>
      </c>
      <c r="BZ19" s="75">
        <v>-6000</v>
      </c>
      <c r="CA19" s="75">
        <v>1345000</v>
      </c>
      <c r="CB19" s="75">
        <f>SUM(BX19:CA19)</f>
        <v>2715000</v>
      </c>
      <c r="CD19" s="75">
        <v>2276000</v>
      </c>
      <c r="CE19" s="75">
        <v>45000</v>
      </c>
      <c r="CF19" s="75">
        <v>233000</v>
      </c>
      <c r="CG19" s="75">
        <v>2447000</v>
      </c>
      <c r="CH19" s="75">
        <f>SUM(CD19:CG19)</f>
        <v>5001000</v>
      </c>
      <c r="CJ19" s="139">
        <v>1000</v>
      </c>
      <c r="CK19" s="75">
        <v>489000</v>
      </c>
      <c r="CL19" s="75">
        <v>5043000</v>
      </c>
      <c r="CM19" s="75">
        <v>14400000</v>
      </c>
      <c r="CN19" s="75">
        <f>SUM(CJ19:CM19)</f>
        <v>19933000</v>
      </c>
      <c r="CP19" s="75">
        <v>-3000</v>
      </c>
      <c r="CQ19" s="75">
        <v>2833000</v>
      </c>
      <c r="CR19" s="75">
        <v>-788000</v>
      </c>
      <c r="CS19" s="75">
        <v>681000</v>
      </c>
      <c r="CT19" s="75">
        <v>2723000</v>
      </c>
      <c r="CV19" s="75">
        <v>4673000</v>
      </c>
      <c r="CX19" s="167"/>
      <c r="CZ19" s="129">
        <f>+AZ19</f>
        <v>206000</v>
      </c>
      <c r="DA19" s="129">
        <f>SUM($AZ19:BA19)</f>
        <v>603000</v>
      </c>
      <c r="DB19" s="129">
        <f>SUM($AZ19:BB19)</f>
        <v>752000</v>
      </c>
      <c r="DC19" s="129">
        <f>SUM($AZ19:BC19)</f>
        <v>752000</v>
      </c>
      <c r="DD19" s="129">
        <f>+DC19</f>
        <v>752000</v>
      </c>
      <c r="DF19" s="129">
        <f>+BF19</f>
        <v>116000</v>
      </c>
      <c r="DG19" s="129">
        <f>SUM($BF19:BG19)</f>
        <v>6690000</v>
      </c>
      <c r="DH19" s="129">
        <f>SUM($BF19:BH19)</f>
        <v>9192000</v>
      </c>
      <c r="DI19" s="129">
        <f>SUM($BF19:BI19)</f>
        <v>11708000</v>
      </c>
      <c r="DJ19" s="129">
        <f>+DI19</f>
        <v>11708000</v>
      </c>
      <c r="DL19" s="129">
        <f>+BL19</f>
        <v>739000</v>
      </c>
      <c r="DM19" s="129">
        <f>SUM($BL19:BM19)</f>
        <v>13850000</v>
      </c>
      <c r="DN19" s="129">
        <f>SUM($BL19:BN19)</f>
        <v>25593000</v>
      </c>
      <c r="DO19" s="129">
        <f>SUM($BL19:BO19)</f>
        <v>35316000</v>
      </c>
      <c r="DP19" s="129">
        <f>+DO19</f>
        <v>35316000</v>
      </c>
      <c r="DR19" s="129">
        <f>+BR19</f>
        <v>1278000</v>
      </c>
      <c r="DS19" s="129">
        <f>SUM($BR19:BS19)</f>
        <v>1296000</v>
      </c>
      <c r="DT19" s="129">
        <f>SUM($BR19:BT19)</f>
        <v>1296000</v>
      </c>
      <c r="DU19" s="129">
        <f>SUM($BR19:BU19)</f>
        <v>1479000</v>
      </c>
      <c r="DV19" s="129">
        <f>+DU19</f>
        <v>1479000</v>
      </c>
      <c r="DX19" s="129">
        <f>+BX19</f>
        <v>1995000</v>
      </c>
      <c r="DY19" s="129">
        <f>SUM($BX19:BY19)</f>
        <v>1376000</v>
      </c>
      <c r="DZ19" s="129">
        <f>SUM($BX19:BZ19)</f>
        <v>1370000</v>
      </c>
      <c r="EA19" s="129">
        <f>SUM($BX19:CA19)</f>
        <v>2715000</v>
      </c>
      <c r="EB19" s="129">
        <f>+EA19</f>
        <v>2715000</v>
      </c>
      <c r="ED19" s="129">
        <f>+CD19</f>
        <v>2276000</v>
      </c>
      <c r="EE19" s="129">
        <f>SUM($CD19:CE19)</f>
        <v>2321000</v>
      </c>
      <c r="EF19" s="129">
        <f>SUM($CD19:CF19)</f>
        <v>2554000</v>
      </c>
      <c r="EG19" s="129">
        <f>SUM($CD19:CG19)</f>
        <v>5001000</v>
      </c>
      <c r="EH19" s="129">
        <f>+EG19</f>
        <v>5001000</v>
      </c>
      <c r="EJ19" s="129">
        <f>+CJ19</f>
        <v>1000</v>
      </c>
      <c r="EK19" s="129">
        <f>SUM($CJ19:CK19)</f>
        <v>490000</v>
      </c>
      <c r="EL19" s="129">
        <f>SUM($CJ19:CL19)</f>
        <v>5533000</v>
      </c>
      <c r="EM19" s="129">
        <f>SUM($CJ19:CM19)</f>
        <v>19933000</v>
      </c>
      <c r="EN19" s="129">
        <f>+EM19</f>
        <v>19933000</v>
      </c>
      <c r="EP19" s="129">
        <f>+CP19</f>
        <v>-3000</v>
      </c>
      <c r="EQ19" s="129">
        <f>SUM($CP19:CQ19)</f>
        <v>2830000</v>
      </c>
      <c r="ER19" s="129">
        <f>SUM($CP19:CR19)</f>
        <v>2042000</v>
      </c>
      <c r="ES19" s="129">
        <f>SUM($CP19:CS19)</f>
        <v>2723000</v>
      </c>
      <c r="ET19" s="129">
        <f>+ES19</f>
        <v>2723000</v>
      </c>
    </row>
    <row r="20" spans="1:150" ht="23.25" customHeight="1" x14ac:dyDescent="0.25">
      <c r="A20" s="130" t="s">
        <v>189</v>
      </c>
      <c r="B20" s="130" t="str">
        <f t="shared" si="1"/>
        <v>Total operating expenses</v>
      </c>
      <c r="C20" s="130" t="str">
        <f t="shared" si="2"/>
        <v>Total operating expenses</v>
      </c>
      <c r="E20" s="131">
        <f>SUM(E16:E19)</f>
        <v>125741000</v>
      </c>
      <c r="F20" s="163"/>
      <c r="G20" s="131">
        <f>SUM(G16:G19)</f>
        <v>113734000</v>
      </c>
      <c r="H20" s="163"/>
      <c r="I20" s="131">
        <f>SUM(I16:I19)</f>
        <v>139277000</v>
      </c>
      <c r="K20" s="131">
        <f>SUM(K16:K19)</f>
        <v>381963000</v>
      </c>
      <c r="L20" s="163"/>
      <c r="M20" s="131">
        <f>SUM(M16:M19)</f>
        <v>330363000</v>
      </c>
      <c r="N20" s="163"/>
      <c r="O20" s="131">
        <f>SUM(O16:O19)</f>
        <v>400018000</v>
      </c>
      <c r="Q20" s="125" t="str">
        <f>IF(E20&gt;G20,"increase","decrease")</f>
        <v>increase</v>
      </c>
      <c r="S20" s="125" t="str">
        <f>IF(G20&gt;I20,"increase","decrease")</f>
        <v>decrease</v>
      </c>
      <c r="W20" s="125" t="str">
        <f>IF(E20&gt;G20,"an increase","a decrease")</f>
        <v>an increase</v>
      </c>
      <c r="Y20" s="125" t="str">
        <f>IF(G20&gt;I20,"an increase","a decrease")</f>
        <v>a decrease</v>
      </c>
      <c r="AO20" s="126">
        <f>+AP20/ABS(G20)</f>
        <v>0.10557089348831485</v>
      </c>
      <c r="AP20" s="72">
        <f>+E20-G20</f>
        <v>12007000</v>
      </c>
      <c r="AR20" s="126">
        <f>+AS20/ABS(M20)</f>
        <v>0.15619182535574505</v>
      </c>
      <c r="AS20" s="72">
        <f>+K20-M20</f>
        <v>51600000</v>
      </c>
      <c r="AV20" s="127">
        <f t="shared" si="0"/>
        <v>14</v>
      </c>
      <c r="AX20" s="172"/>
      <c r="AZ20" s="131">
        <f>SUM(AZ16:AZ19)</f>
        <v>129460000</v>
      </c>
      <c r="BA20" s="131">
        <f>SUM(BA16:BA19)</f>
        <v>126762000</v>
      </c>
      <c r="BB20" s="131">
        <f>SUM(BB16:BB19)</f>
        <v>125741000</v>
      </c>
      <c r="BC20" s="131">
        <f>SUM(BC16:BC19)</f>
        <v>0</v>
      </c>
      <c r="BD20" s="131">
        <f>SUM(BD16:BD19)</f>
        <v>381963000</v>
      </c>
      <c r="BF20" s="131">
        <f>SUM(BF16:BF19)</f>
        <v>106178000</v>
      </c>
      <c r="BG20" s="131">
        <f>SUM(BG16:BG19)</f>
        <v>110451000</v>
      </c>
      <c r="BH20" s="131">
        <f>SUM(BH16:BH19)</f>
        <v>113734000</v>
      </c>
      <c r="BI20" s="131">
        <f>SUM(BI16:BI19)</f>
        <v>138405000</v>
      </c>
      <c r="BJ20" s="131">
        <f>SUM(BJ16:BJ19)</f>
        <v>468768000</v>
      </c>
      <c r="BL20" s="131">
        <f>SUM(BL16:BL19)</f>
        <v>126824000</v>
      </c>
      <c r="BM20" s="131">
        <f>SUM(BM16:BM19)</f>
        <v>133917000</v>
      </c>
      <c r="BN20" s="131">
        <f>SUM(BN16:BN19)</f>
        <v>139277000</v>
      </c>
      <c r="BO20" s="131">
        <f>SUM(BO16:BO19)</f>
        <v>152281000</v>
      </c>
      <c r="BP20" s="131">
        <f>SUM(BP16:BP19)</f>
        <v>552299000</v>
      </c>
      <c r="BR20" s="131">
        <f>SUM(BR16:BR19)</f>
        <v>102324000</v>
      </c>
      <c r="BS20" s="131">
        <f>SUM(BS16:BS19)</f>
        <v>98393000</v>
      </c>
      <c r="BT20" s="131">
        <f>SUM(BT16:BT19)</f>
        <v>115833000</v>
      </c>
      <c r="BU20" s="131">
        <f>SUM(BU16:BU19)</f>
        <v>130218000</v>
      </c>
      <c r="BV20" s="131">
        <f>SUM(BV16:BV19)</f>
        <v>446768000</v>
      </c>
      <c r="BX20" s="131">
        <f>SUM(BX16:BX19)</f>
        <v>90979000</v>
      </c>
      <c r="BY20" s="131">
        <f>SUM(BY16:BY19)</f>
        <v>96616000</v>
      </c>
      <c r="BZ20" s="131">
        <f>SUM(BZ16:BZ19)</f>
        <v>98449000</v>
      </c>
      <c r="CA20" s="131">
        <f>SUM(CA16:CA19)</f>
        <v>133526000</v>
      </c>
      <c r="CB20" s="131">
        <f>SUM(CB16:CB19)</f>
        <v>419570000</v>
      </c>
      <c r="CD20" s="131">
        <f>SUM(CD16:CD19)</f>
        <v>94460000</v>
      </c>
      <c r="CE20" s="131">
        <f>SUM(CE16:CE19)</f>
        <v>98956000</v>
      </c>
      <c r="CF20" s="131">
        <f>SUM(CF16:CF19)</f>
        <v>105736000</v>
      </c>
      <c r="CG20" s="131">
        <f>SUM(CG16:CG19)</f>
        <v>109638000</v>
      </c>
      <c r="CH20" s="131">
        <f>SUM(CH16:CH19)</f>
        <v>408790000</v>
      </c>
      <c r="CJ20" s="131">
        <f>SUM(CJ16:CJ19)</f>
        <v>68419000</v>
      </c>
      <c r="CK20" s="131">
        <f>SUM(CK16:CK19)</f>
        <v>78545000</v>
      </c>
      <c r="CL20" s="131">
        <f>SUM(CL16:CL19)</f>
        <v>93394000</v>
      </c>
      <c r="CM20" s="131">
        <f>SUM(CM16:CM19)</f>
        <v>122690000</v>
      </c>
      <c r="CN20" s="131">
        <f>SUM(CN16:CN19)</f>
        <v>363048000</v>
      </c>
      <c r="CP20" s="131">
        <f>SUM(CP16:CP19)</f>
        <v>62515000</v>
      </c>
      <c r="CQ20" s="131">
        <f>SUM(CQ16:CQ19)</f>
        <v>68137000</v>
      </c>
      <c r="CR20" s="131">
        <f>SUM(CR16:CR19)</f>
        <v>62284000</v>
      </c>
      <c r="CS20" s="131">
        <f>SUM(CS16:CS19)</f>
        <v>64293000</v>
      </c>
      <c r="CT20" s="131">
        <f>SUM(CT16:CT19)</f>
        <v>257229000</v>
      </c>
      <c r="CV20" s="131">
        <f>SUM(CV16:CV19)</f>
        <v>206196000</v>
      </c>
      <c r="CX20" s="167"/>
      <c r="CZ20" s="131">
        <f>SUM(CZ16:CZ19)</f>
        <v>129460000</v>
      </c>
      <c r="DA20" s="131">
        <f>SUM(DA16:DA19)</f>
        <v>256222000</v>
      </c>
      <c r="DB20" s="131">
        <f>SUM(DB16:DB19)</f>
        <v>381963000</v>
      </c>
      <c r="DC20" s="131">
        <f>SUM(DC16:DC19)</f>
        <v>381963000</v>
      </c>
      <c r="DD20" s="131">
        <f>SUM(DD16:DD19)</f>
        <v>381963000</v>
      </c>
      <c r="DF20" s="131">
        <f>SUM(DF16:DF19)</f>
        <v>106178000</v>
      </c>
      <c r="DG20" s="131">
        <f>SUM(DG16:DG19)</f>
        <v>216629000</v>
      </c>
      <c r="DH20" s="131">
        <f>SUM(DH16:DH19)</f>
        <v>330363000</v>
      </c>
      <c r="DI20" s="131">
        <f>SUM(DI16:DI19)</f>
        <v>468768000</v>
      </c>
      <c r="DJ20" s="131">
        <f>SUM(DJ16:DJ19)</f>
        <v>468768000</v>
      </c>
      <c r="DL20" s="131">
        <f>SUM(DL16:DL19)</f>
        <v>126824000</v>
      </c>
      <c r="DM20" s="131">
        <f>SUM(DM16:DM19)</f>
        <v>260741000</v>
      </c>
      <c r="DN20" s="131">
        <f>SUM(DN16:DN19)</f>
        <v>400018000</v>
      </c>
      <c r="DO20" s="131">
        <f>SUM(DO16:DO19)</f>
        <v>552299000</v>
      </c>
      <c r="DP20" s="131">
        <f>SUM(DP16:DP19)</f>
        <v>552299000</v>
      </c>
      <c r="DR20" s="131">
        <f>SUM(DR16:DR19)</f>
        <v>102324000</v>
      </c>
      <c r="DS20" s="131">
        <f>SUM(DS16:DS19)</f>
        <v>200717000</v>
      </c>
      <c r="DT20" s="131">
        <f>SUM(DT16:DT19)</f>
        <v>316550000</v>
      </c>
      <c r="DU20" s="131">
        <f>SUM(DU16:DU19)</f>
        <v>446768000</v>
      </c>
      <c r="DV20" s="131">
        <f>SUM(DV16:DV19)</f>
        <v>446768000</v>
      </c>
      <c r="DX20" s="131">
        <f>SUM(DX16:DX19)</f>
        <v>90979000</v>
      </c>
      <c r="DY20" s="131">
        <f>SUM(DY16:DY19)</f>
        <v>187595000</v>
      </c>
      <c r="DZ20" s="131">
        <f>SUM(DZ16:DZ19)</f>
        <v>286044000</v>
      </c>
      <c r="EA20" s="131">
        <f>SUM(EA16:EA19)</f>
        <v>419570000</v>
      </c>
      <c r="EB20" s="131">
        <f>SUM(EB16:EB19)</f>
        <v>419570000</v>
      </c>
      <c r="ED20" s="131">
        <f>SUM(ED16:ED19)</f>
        <v>94460000</v>
      </c>
      <c r="EE20" s="131">
        <f>SUM(EE16:EE19)</f>
        <v>193416000</v>
      </c>
      <c r="EF20" s="131">
        <f>SUM(EF16:EF19)</f>
        <v>299152000</v>
      </c>
      <c r="EG20" s="131">
        <f>SUM(EG16:EG19)</f>
        <v>408790000</v>
      </c>
      <c r="EH20" s="131">
        <f>SUM(EH16:EH19)</f>
        <v>408790000</v>
      </c>
      <c r="EJ20" s="131">
        <f>SUM(EJ16:EJ19)</f>
        <v>68419000</v>
      </c>
      <c r="EK20" s="131">
        <f>SUM(EK16:EK19)</f>
        <v>146964000</v>
      </c>
      <c r="EL20" s="131">
        <f>SUM(EL16:EL19)</f>
        <v>240358000</v>
      </c>
      <c r="EM20" s="131">
        <f>SUM(EM16:EM19)</f>
        <v>363048000</v>
      </c>
      <c r="EN20" s="131">
        <f>SUM(EN16:EN19)</f>
        <v>363048000</v>
      </c>
      <c r="EP20" s="131">
        <f>SUM(EP16:EP19)</f>
        <v>62515000</v>
      </c>
      <c r="EQ20" s="131">
        <f>SUM(EQ16:EQ19)</f>
        <v>130652000</v>
      </c>
      <c r="ER20" s="131">
        <f>SUM(ER16:ER19)</f>
        <v>192936000</v>
      </c>
      <c r="ES20" s="131">
        <f>SUM(ES16:ES19)</f>
        <v>257229000</v>
      </c>
      <c r="ET20" s="131">
        <f>SUM(ET16:ET19)</f>
        <v>257229000</v>
      </c>
    </row>
    <row r="21" spans="1:150" ht="15.75" customHeight="1" x14ac:dyDescent="0.25">
      <c r="AV21" s="127">
        <f t="shared" si="0"/>
        <v>15</v>
      </c>
      <c r="AX21" s="167"/>
      <c r="CX21" s="167"/>
    </row>
    <row r="22" spans="1:150" ht="23.25" customHeight="1" x14ac:dyDescent="0.25">
      <c r="A22" s="140" t="str">
        <f>IF(Q22=S22,Q22,"Income (loss) from operations")</f>
        <v>Income from operations</v>
      </c>
      <c r="B22" s="140" t="str">
        <f>IF(AC22=AE22,AC22,"Income (loss) from operations")</f>
        <v>Income from operations</v>
      </c>
      <c r="C22" s="140" t="str">
        <f>IF(A22=B22,A22,"Income (loss) from operations")</f>
        <v>Income from operations</v>
      </c>
      <c r="E22" s="72">
        <f>+E11-E20</f>
        <v>14673000</v>
      </c>
      <c r="G22" s="72">
        <f>+G11-G20</f>
        <v>15201000</v>
      </c>
      <c r="I22" s="72">
        <f>+I11-I20</f>
        <v>-23949000</v>
      </c>
      <c r="K22" s="72">
        <f>+K11-K20</f>
        <v>16912000</v>
      </c>
      <c r="M22" s="72">
        <f>+M11-M20</f>
        <v>25679000</v>
      </c>
      <c r="O22" s="72">
        <f>+O11-O20</f>
        <v>-78673000</v>
      </c>
      <c r="Q22" s="125" t="str">
        <f>IF(E22&gt;0,"Income from operations","Loss from operations")</f>
        <v>Income from operations</v>
      </c>
      <c r="S22" s="125" t="str">
        <f>IF(G22&gt;0,"Income from operations","Loss from operations")</f>
        <v>Income from operations</v>
      </c>
      <c r="U22" s="125" t="str">
        <f>IF(I22&gt;0,"Income from operations","Loss from operations")</f>
        <v>Loss from operations</v>
      </c>
      <c r="W22" s="132" t="str">
        <f>IF(E22&gt;0,"income from operations","loss from operations")</f>
        <v>income from operations</v>
      </c>
      <c r="Y22" s="132" t="str">
        <f>IF(G22&gt;0,"income from operations","loss from operations")</f>
        <v>income from operations</v>
      </c>
      <c r="AA22" s="125" t="str">
        <f>IF(I22&gt;0,"income from operations","loss from operations")</f>
        <v>loss from operations</v>
      </c>
      <c r="AC22" s="125" t="str">
        <f>IF(K22&gt;0,"Income from operations","Loss from operations")</f>
        <v>Income from operations</v>
      </c>
      <c r="AE22" s="125" t="str">
        <f>IF(M22&gt;0,"Income from operations","Loss from operations")</f>
        <v>Income from operations</v>
      </c>
      <c r="AG22" s="125" t="str">
        <f>IF(O22&gt;0,"Income from operations","Loss from operations")</f>
        <v>Loss from operations</v>
      </c>
      <c r="AI22" s="125" t="str">
        <f>IF(K22&gt;0,"income from operations","loss from operations")</f>
        <v>income from operations</v>
      </c>
      <c r="AK22" s="125" t="str">
        <f>IF(M22&gt;0,"income from operations","loss from operations")</f>
        <v>income from operations</v>
      </c>
      <c r="AM22" s="125" t="str">
        <f>IF(O22&gt;0,"income from operations","loss from operations")</f>
        <v>loss from operations</v>
      </c>
      <c r="AO22" s="126">
        <f>+AP22/ABS(G22)</f>
        <v>-3.4734556937043616E-2</v>
      </c>
      <c r="AP22" s="72">
        <f>+E22-G22</f>
        <v>-528000</v>
      </c>
      <c r="AR22" s="126">
        <f>+AS22/ABS(M22)</f>
        <v>-0.34140737567662294</v>
      </c>
      <c r="AS22" s="72">
        <f>+K22-M22</f>
        <v>-8767000</v>
      </c>
      <c r="AV22" s="127">
        <f t="shared" si="0"/>
        <v>16</v>
      </c>
      <c r="AX22" s="172"/>
      <c r="AZ22" s="72">
        <f>+AZ11-AZ20</f>
        <v>-5248000</v>
      </c>
      <c r="BA22" s="72">
        <f>+BA11-BA20</f>
        <v>7487000</v>
      </c>
      <c r="BB22" s="72">
        <f>+BB11-BB20</f>
        <v>14673000</v>
      </c>
      <c r="BC22" s="72">
        <f>+BC11-BC20</f>
        <v>0</v>
      </c>
      <c r="BD22" s="72">
        <f>+BD11-BD20</f>
        <v>16912000</v>
      </c>
      <c r="BF22" s="72">
        <f>+BF11-BF20</f>
        <v>2270000</v>
      </c>
      <c r="BG22" s="72">
        <f>+BG11-BG20</f>
        <v>8208000</v>
      </c>
      <c r="BH22" s="72">
        <f>+BH11-BH20</f>
        <v>15201000</v>
      </c>
      <c r="BI22" s="72">
        <f>+BI11-BI20</f>
        <v>-14275000</v>
      </c>
      <c r="BJ22" s="72">
        <f>+BJ11-BJ20</f>
        <v>11404000</v>
      </c>
      <c r="BL22" s="72">
        <f>+BL11-BL20</f>
        <v>-25602000</v>
      </c>
      <c r="BM22" s="72">
        <f>+BM11-BM20</f>
        <v>-29122000</v>
      </c>
      <c r="BN22" s="72">
        <f>+BN11-BN20</f>
        <v>-23949000</v>
      </c>
      <c r="BO22" s="72">
        <f>+BO11-BO20</f>
        <v>-47127000</v>
      </c>
      <c r="BP22" s="72">
        <f>+BP11-BP20</f>
        <v>-125800000</v>
      </c>
      <c r="BR22" s="72">
        <f>+BR11-BR20</f>
        <v>-17601000</v>
      </c>
      <c r="BS22" s="72">
        <f>+BS11-BS20</f>
        <v>-6182000</v>
      </c>
      <c r="BT22" s="72">
        <f>+BT11-BT20</f>
        <v>-13786000</v>
      </c>
      <c r="BU22" s="72">
        <f>+BU11-BU20</f>
        <v>-27969000</v>
      </c>
      <c r="BV22" s="72">
        <f>+BV11-BV20</f>
        <v>-65538000</v>
      </c>
      <c r="BX22" s="72">
        <f>+BX11-BX20</f>
        <v>-26007000</v>
      </c>
      <c r="BY22" s="72">
        <f>+BY11-BY20</f>
        <v>-26852000</v>
      </c>
      <c r="BZ22" s="72">
        <f>+BZ11-BZ20</f>
        <v>-15781000</v>
      </c>
      <c r="CA22" s="72">
        <f>+CA11-CA20</f>
        <v>-51908000</v>
      </c>
      <c r="CB22" s="72">
        <f>+CB11-CB20</f>
        <v>-120548000</v>
      </c>
      <c r="CD22" s="72">
        <f>+CD11-CD20</f>
        <v>-48375000</v>
      </c>
      <c r="CE22" s="72">
        <f>+CE11-CE20</f>
        <v>-50273000</v>
      </c>
      <c r="CF22" s="72">
        <f>+CF11-CF20</f>
        <v>-41485000</v>
      </c>
      <c r="CG22" s="72">
        <f>+CG11-CG20</f>
        <v>-40789000</v>
      </c>
      <c r="CH22" s="72">
        <f>+CH11-CH20</f>
        <v>-180922000</v>
      </c>
      <c r="CJ22" s="72">
        <f>+CJ11-CJ20</f>
        <v>-29602000</v>
      </c>
      <c r="CK22" s="72">
        <f>+CK11-CK20</f>
        <v>-38199000</v>
      </c>
      <c r="CL22" s="72">
        <f>+CL11-CL20</f>
        <v>-48211000</v>
      </c>
      <c r="CM22" s="72">
        <f>+CM11-CM20</f>
        <v>-82134000</v>
      </c>
      <c r="CN22" s="72">
        <f>+CN11-CN20</f>
        <v>-198146000</v>
      </c>
      <c r="CP22" s="72">
        <f>+CP11-CP20</f>
        <v>-39819000</v>
      </c>
      <c r="CQ22" s="72">
        <f>+CQ11-CQ20</f>
        <v>-38133000</v>
      </c>
      <c r="CR22" s="72">
        <f>+CR11-CR20</f>
        <v>-27689000</v>
      </c>
      <c r="CS22" s="72">
        <f>+CS11-CS20</f>
        <v>-27883000</v>
      </c>
      <c r="CT22" s="72">
        <f>+CT11-CT20</f>
        <v>-133524000</v>
      </c>
      <c r="CV22" s="72">
        <f>+CV11-CV20</f>
        <v>-131412000</v>
      </c>
      <c r="CX22" s="167"/>
      <c r="CZ22" s="72">
        <f>+CZ11-CZ20</f>
        <v>-5248000</v>
      </c>
      <c r="DA22" s="72">
        <f>+DA11-DA20</f>
        <v>2239000</v>
      </c>
      <c r="DB22" s="72">
        <f>+DB11-DB20</f>
        <v>16912000</v>
      </c>
      <c r="DC22" s="72">
        <f>+DC11-DC20</f>
        <v>16912000</v>
      </c>
      <c r="DD22" s="72">
        <f>+DD11-DD20</f>
        <v>16912000</v>
      </c>
      <c r="DF22" s="72">
        <f>+DF11-DF20</f>
        <v>2270000</v>
      </c>
      <c r="DG22" s="72">
        <f>+DG11-DG20</f>
        <v>10478000</v>
      </c>
      <c r="DH22" s="72">
        <f>+DH11-DH20</f>
        <v>25679000</v>
      </c>
      <c r="DI22" s="72">
        <f>+DI11-DI20</f>
        <v>11404000</v>
      </c>
      <c r="DJ22" s="72">
        <f>+DJ11-DJ20</f>
        <v>11404000</v>
      </c>
      <c r="DL22" s="72">
        <f>+DL11-DL20</f>
        <v>-25602000</v>
      </c>
      <c r="DM22" s="72">
        <f>+DM11-DM20</f>
        <v>-54724000</v>
      </c>
      <c r="DN22" s="72">
        <f>+DN11-DN20</f>
        <v>-78673000</v>
      </c>
      <c r="DO22" s="72">
        <f>+DO11-DO20</f>
        <v>-125800000</v>
      </c>
      <c r="DP22" s="72">
        <f>+DP11-DP20</f>
        <v>-125800000</v>
      </c>
      <c r="DR22" s="72">
        <f>+DR11-DR20</f>
        <v>-17601000</v>
      </c>
      <c r="DS22" s="72">
        <f>+DS11-DS20</f>
        <v>-23783000</v>
      </c>
      <c r="DT22" s="72">
        <f>+DT11-DT20</f>
        <v>-37569000</v>
      </c>
      <c r="DU22" s="72">
        <f>+DU11-DU20</f>
        <v>-65538000</v>
      </c>
      <c r="DV22" s="72">
        <f>+DV11-DV20</f>
        <v>-65538000</v>
      </c>
      <c r="DX22" s="72">
        <f>+DX11-DX20</f>
        <v>-26007000</v>
      </c>
      <c r="DY22" s="72">
        <f>+DY11-DY20</f>
        <v>-52859000</v>
      </c>
      <c r="DZ22" s="72">
        <f>+DZ11-DZ20</f>
        <v>-68640000</v>
      </c>
      <c r="EA22" s="72">
        <f>+EA11-EA20</f>
        <v>-120548000</v>
      </c>
      <c r="EB22" s="72">
        <f>+EB11-EB20</f>
        <v>-120548000</v>
      </c>
      <c r="ED22" s="72">
        <f>+ED11-ED20</f>
        <v>-48375000</v>
      </c>
      <c r="EE22" s="72">
        <f>+EE11-EE20</f>
        <v>-98648000</v>
      </c>
      <c r="EF22" s="72">
        <f>+EF11-EF20</f>
        <v>-140133000</v>
      </c>
      <c r="EG22" s="72">
        <f>+EG11-EG20</f>
        <v>-180922000</v>
      </c>
      <c r="EH22" s="72">
        <f>+EH11-EH20</f>
        <v>-180922000</v>
      </c>
      <c r="EJ22" s="72">
        <f>+EJ11-EJ20</f>
        <v>-29602000</v>
      </c>
      <c r="EK22" s="72">
        <f>+EK11-EK20</f>
        <v>-67801000</v>
      </c>
      <c r="EL22" s="72">
        <f>+EL11-EL20</f>
        <v>-116012000</v>
      </c>
      <c r="EM22" s="72">
        <f>+EM11-EM20</f>
        <v>-198146000</v>
      </c>
      <c r="EN22" s="72">
        <f>+EN11-EN20</f>
        <v>-198146000</v>
      </c>
      <c r="EP22" s="72">
        <f>+EP11-EP20</f>
        <v>-39819000</v>
      </c>
      <c r="EQ22" s="72">
        <f>+EQ11-EQ20</f>
        <v>-77952000</v>
      </c>
      <c r="ER22" s="72">
        <f>+ER11-ER20</f>
        <v>-105641000</v>
      </c>
      <c r="ES22" s="72">
        <f>+ES11-ES20</f>
        <v>-133524000</v>
      </c>
      <c r="ET22" s="72">
        <f>+ET11-ET20</f>
        <v>-133524000</v>
      </c>
    </row>
    <row r="23" spans="1:150" ht="15.75" customHeight="1" x14ac:dyDescent="0.25">
      <c r="A23" s="133" t="s">
        <v>190</v>
      </c>
      <c r="B23" s="133" t="str">
        <f>+A23</f>
        <v>% Margin</v>
      </c>
      <c r="C23" s="133" t="str">
        <f>+A23</f>
        <v>% Margin</v>
      </c>
      <c r="E23" s="141">
        <f>IFERROR(+E22/E9,0)</f>
        <v>7.5087507420219843E-2</v>
      </c>
      <c r="G23" s="141">
        <f>+G22/G9</f>
        <v>8.7427891113424472E-2</v>
      </c>
      <c r="I23" s="141">
        <f>+I22/I9</f>
        <v>-0.15098824196954891</v>
      </c>
      <c r="K23" s="141">
        <f>+K22/K9</f>
        <v>3.0370508713204132E-2</v>
      </c>
      <c r="M23" s="141">
        <f>+M22/M9</f>
        <v>5.2641505179281234E-2</v>
      </c>
      <c r="O23" s="141">
        <f>+O22/O9</f>
        <v>-0.17562623198208757</v>
      </c>
      <c r="Q23" s="125" t="str">
        <f>IF(E23&lt;0,"negative","positive")</f>
        <v>positive</v>
      </c>
      <c r="S23" s="125" t="str">
        <f>IF(G23&lt;0,"negative","positive")</f>
        <v>positive</v>
      </c>
      <c r="U23" s="125" t="str">
        <f>IF(I23&lt;0,"negative","positive")</f>
        <v>negative</v>
      </c>
      <c r="W23" s="135">
        <f>(+E23-G23)</f>
        <v>-1.2340383693204629E-2</v>
      </c>
      <c r="X23" s="137"/>
      <c r="Y23" s="135">
        <f>(+G23-I23)</f>
        <v>0.23841613308297338</v>
      </c>
      <c r="Z23" s="46"/>
      <c r="AC23" s="125" t="str">
        <f>IF(K23&lt;0,"negative","positive")</f>
        <v>positive</v>
      </c>
      <c r="AE23" s="125" t="str">
        <f>IF(M23&lt;0,"negative","positive")</f>
        <v>positive</v>
      </c>
      <c r="AG23" s="125" t="str">
        <f>IF(O23&lt;0,"negative","positive")</f>
        <v>negative</v>
      </c>
      <c r="AI23" s="125" t="str">
        <f>IF(K23&lt;0,"negative","positive")</f>
        <v>positive</v>
      </c>
      <c r="AK23" s="125" t="str">
        <f>IF(M23&lt;0,"negative","positive")</f>
        <v>positive</v>
      </c>
      <c r="AM23" s="125" t="str">
        <f>IF(O23&lt;0,"negative","positive")</f>
        <v>negative</v>
      </c>
      <c r="AV23" s="127">
        <f t="shared" si="0"/>
        <v>17</v>
      </c>
      <c r="AX23" s="174"/>
      <c r="AZ23" s="141">
        <f>+AZ22/AZ9</f>
        <v>-2.9824790720671058E-2</v>
      </c>
      <c r="BA23" s="141">
        <f>IFERROR(+BA22/BA10,0)</f>
        <v>0.14613342702111878</v>
      </c>
      <c r="BB23" s="141">
        <f>IFERROR(+BB22/BB9,0)</f>
        <v>7.5087507420219843E-2</v>
      </c>
      <c r="BC23" s="141">
        <f>IFERROR(+BC22/BC9,0)</f>
        <v>0</v>
      </c>
      <c r="BD23" s="141">
        <f>+BD22/BD9</f>
        <v>3.0370508713204132E-2</v>
      </c>
      <c r="BF23" s="141">
        <f>+BF22/BF9</f>
        <v>1.4733658295958305E-2</v>
      </c>
      <c r="BG23" s="141">
        <f>+BG22/BG9</f>
        <v>5.1341393998911619E-2</v>
      </c>
      <c r="BH23" s="141">
        <f>+BH22/BH9</f>
        <v>8.7427891113424472E-2</v>
      </c>
      <c r="BI23" s="141">
        <f>+BI22/BI9</f>
        <v>-8.3065661150292111E-2</v>
      </c>
      <c r="BJ23" s="141">
        <f>+BJ22/BJ9</f>
        <v>1.7287667453434415E-2</v>
      </c>
      <c r="BL23" s="141">
        <f>+BL22/BL9</f>
        <v>-0.17998776741210465</v>
      </c>
      <c r="BM23" s="141">
        <f>+BM22/BM9</f>
        <v>-0.19797551308982386</v>
      </c>
      <c r="BN23" s="141">
        <f>+BN22/BN9</f>
        <v>-0.15098824196954891</v>
      </c>
      <c r="BO23" s="141">
        <f>+BO22/BO9</f>
        <v>-0.31708449396471683</v>
      </c>
      <c r="BP23" s="141">
        <f>+BP22/BP9</f>
        <v>-0.21086755740609436</v>
      </c>
      <c r="BR23" s="141">
        <f>+BR22/BR9</f>
        <v>-0.14786034711604698</v>
      </c>
      <c r="BS23" s="141">
        <f>+BS22/BS9</f>
        <v>-4.8566266006756224E-2</v>
      </c>
      <c r="BT23" s="141">
        <f>+BT22/BT9</f>
        <v>-9.8048419675115933E-2</v>
      </c>
      <c r="BU23" s="141">
        <f>+BU22/BU9</f>
        <v>-0.19734697477509261</v>
      </c>
      <c r="BV23" s="141">
        <f>+BV22/BV9</f>
        <v>-0.12397074095301869</v>
      </c>
      <c r="BX23" s="141">
        <f>+BX22/BX9</f>
        <v>-0.26154248418596698</v>
      </c>
      <c r="BY23" s="141">
        <f>+BY22/BY9</f>
        <v>-0.25656166098164551</v>
      </c>
      <c r="BZ23" s="141">
        <f>+BZ22/BZ9</f>
        <v>-0.13177957963474818</v>
      </c>
      <c r="CA23" s="141">
        <f>+CA22/CA9</f>
        <v>-0.43556114956996012</v>
      </c>
      <c r="CB23" s="141">
        <f>+CB22/CB9</f>
        <v>-0.27210141165529789</v>
      </c>
      <c r="CD23" s="141">
        <f>+CD22/CD9</f>
        <v>-0.58628546496830725</v>
      </c>
      <c r="CE23" s="141">
        <f>+CE22/CE9</f>
        <v>-0.55770276116836581</v>
      </c>
      <c r="CF23" s="141">
        <f>+CF22/CF9</f>
        <v>-0.40585225549566117</v>
      </c>
      <c r="CG23" s="141">
        <f>+CG22/CG9</f>
        <v>-0.38589038892725708</v>
      </c>
      <c r="CH23" s="141">
        <f>+CH22/CH9</f>
        <v>-0.4753949318394417</v>
      </c>
      <c r="CJ23" s="136">
        <f>+CJ22/CJ9</f>
        <v>-0.4738518672664116</v>
      </c>
      <c r="CK23" s="136">
        <f>+CK22/CK9</f>
        <v>-0.58938159600074058</v>
      </c>
      <c r="CL23" s="136">
        <f>+CL22/CL9</f>
        <v>-0.60247934917084267</v>
      </c>
      <c r="CM23" s="136">
        <f>+CM22/CM9</f>
        <v>-1.0487512130343735</v>
      </c>
      <c r="CN23" s="136">
        <f>+CN22/CN9</f>
        <v>-0.69373993417827884</v>
      </c>
      <c r="CP23" s="136">
        <f>+CP22/CP9</f>
        <v>-0.85161580084265454</v>
      </c>
      <c r="CQ23" s="136">
        <f>+CQ22/CQ9</f>
        <v>-0.70599670449706553</v>
      </c>
      <c r="CR23" s="136">
        <f>+CR22/CR9</f>
        <v>-0.46834458145159924</v>
      </c>
      <c r="CS23" s="136">
        <f>+CS22/CS9</f>
        <v>-0.46309583125726622</v>
      </c>
      <c r="CT23" s="136">
        <f>+CT22/CT9</f>
        <v>-0.60664876579388549</v>
      </c>
      <c r="CV23" s="136">
        <f>+CV22/CV9</f>
        <v>-0.75195696955825131</v>
      </c>
      <c r="CX23" s="167"/>
      <c r="CZ23" s="141">
        <f>+CZ22/CZ9</f>
        <v>-2.9824790720671058E-2</v>
      </c>
      <c r="DA23" s="141">
        <f>+DA22/DA9</f>
        <v>6.1945972266796512E-3</v>
      </c>
      <c r="DB23" s="141">
        <f>+DB22/DB9</f>
        <v>3.0370508713204132E-2</v>
      </c>
      <c r="DC23" s="141">
        <f>+DC22/DC9</f>
        <v>3.0370508713204132E-2</v>
      </c>
      <c r="DD23" s="141">
        <f>+DD22/DD9</f>
        <v>3.0370508713204132E-2</v>
      </c>
      <c r="DF23" s="141">
        <f>+DF22/DF9</f>
        <v>1.4733658295958305E-2</v>
      </c>
      <c r="DG23" s="141">
        <f>+DG22/DG9</f>
        <v>3.3375804293814107E-2</v>
      </c>
      <c r="DH23" s="141">
        <f>+DH22/DH9</f>
        <v>5.2641505179281234E-2</v>
      </c>
      <c r="DI23" s="141">
        <f>+DI22/DI9</f>
        <v>1.7287667453434415E-2</v>
      </c>
      <c r="DJ23" s="141">
        <f>+DJ22/DJ9</f>
        <v>1.7287667453434415E-2</v>
      </c>
      <c r="DL23" s="141">
        <f>+DL22/DL9</f>
        <v>-0.17998776741210465</v>
      </c>
      <c r="DM23" s="141">
        <f>+DM22/DM9</f>
        <v>-0.18913258358620594</v>
      </c>
      <c r="DN23" s="141">
        <f>+DN22/DN9</f>
        <v>-0.17562623198208757</v>
      </c>
      <c r="DO23" s="141">
        <f>+DO22/DO9</f>
        <v>-0.21086755740609436</v>
      </c>
      <c r="DP23" s="141">
        <f>+DP22/DP9</f>
        <v>-0.21086755740609436</v>
      </c>
      <c r="DR23" s="141">
        <f>+DR22/DR9</f>
        <v>-0.14786034711604698</v>
      </c>
      <c r="DS23" s="141">
        <f>+DS22/DS9</f>
        <v>-9.6550128284238895E-2</v>
      </c>
      <c r="DT23" s="141">
        <f>+DT22/DT9</f>
        <v>-9.7094579926188584E-2</v>
      </c>
      <c r="DU23" s="141">
        <f>+DU22/DU9</f>
        <v>-0.12397074095301869</v>
      </c>
      <c r="DV23" s="141">
        <f>+DV22/DV9</f>
        <v>-0.12397074095301869</v>
      </c>
      <c r="DX23" s="141">
        <f>+DX22/DX9</f>
        <v>-0.26154248418596698</v>
      </c>
      <c r="DY23" s="141">
        <f>+DY22/DY9</f>
        <v>-0.25898832913600328</v>
      </c>
      <c r="DZ23" s="141">
        <f>+DZ22/DZ9</f>
        <v>-0.21194932237356068</v>
      </c>
      <c r="EA23" s="141">
        <f>+EA22/EA9</f>
        <v>-0.27210141165529789</v>
      </c>
      <c r="EB23" s="141">
        <f>+EB22/EB9</f>
        <v>-0.27210141165529789</v>
      </c>
      <c r="ED23" s="141">
        <f>+ED22/ED9</f>
        <v>-0.58628546496830725</v>
      </c>
      <c r="EE23" s="141">
        <f>+EE22/EE9</f>
        <v>-0.57136237793506084</v>
      </c>
      <c r="EF23" s="141">
        <f>+EF22/EF9</f>
        <v>-0.50981369442392976</v>
      </c>
      <c r="EG23" s="141">
        <f>+EG22/EG9</f>
        <v>-0.4753949318394417</v>
      </c>
      <c r="EH23" s="141">
        <f>+EH22/EH9</f>
        <v>-0.4753949318394417</v>
      </c>
      <c r="EJ23" s="141">
        <f>+EJ22/EJ9</f>
        <v>-0.4738518672664116</v>
      </c>
      <c r="EK23" s="141">
        <f>+EK22/EK9</f>
        <v>-0.53267914804019389</v>
      </c>
      <c r="EL23" s="141">
        <f>+EL22/EL9</f>
        <v>-0.55962258325936787</v>
      </c>
      <c r="EM23" s="141">
        <f>+EM22/EM9</f>
        <v>-0.69373993417827884</v>
      </c>
      <c r="EN23" s="141">
        <f>+EN22/EN9</f>
        <v>-0.69373993417827884</v>
      </c>
      <c r="EP23" s="141">
        <f>+EP22/EP9</f>
        <v>-0.85161580084265454</v>
      </c>
      <c r="EQ23" s="141">
        <f>+EQ22/EQ9</f>
        <v>-0.77356356058350695</v>
      </c>
      <c r="ER23" s="141">
        <f>+ER22/ER9</f>
        <v>-0.66070635620516471</v>
      </c>
      <c r="ES23" s="141">
        <f>+ES22/ES9</f>
        <v>-0.60664876579388549</v>
      </c>
      <c r="ET23" s="141">
        <f>+ET22/ET9</f>
        <v>-0.60664876579388549</v>
      </c>
    </row>
    <row r="24" spans="1:150" ht="15.75" customHeight="1" x14ac:dyDescent="0.25">
      <c r="W24" s="137" t="str">
        <f>IF(W23&lt;=-0.015,"pts",IF(W23&gt;=0.015,"pts","pt"))</f>
        <v>pt</v>
      </c>
      <c r="X24" s="137"/>
      <c r="Y24" s="137" t="str">
        <f>IF(Y23&lt;=-0.015,"pts",IF(Y23&gt;=0.015,"pts","pt"))</f>
        <v>pts</v>
      </c>
      <c r="Z24" s="46"/>
      <c r="AV24" s="127">
        <f t="shared" si="0"/>
        <v>18</v>
      </c>
      <c r="AX24" s="167"/>
      <c r="CX24" s="167"/>
    </row>
    <row r="25" spans="1:150" ht="15.75" customHeight="1" x14ac:dyDescent="0.25">
      <c r="W25" s="138" t="str">
        <f>ROUND(+W23*100,0)&amp;" "&amp;W24</f>
        <v>-1 pt</v>
      </c>
      <c r="X25" s="137"/>
      <c r="Y25" s="138" t="str">
        <f>ROUND(+Y23*100,0)&amp;" "&amp;Y24</f>
        <v>24 pts</v>
      </c>
      <c r="Z25" s="46"/>
      <c r="AV25" s="127">
        <f t="shared" si="0"/>
        <v>19</v>
      </c>
      <c r="AX25" s="167"/>
      <c r="CX25" s="167"/>
    </row>
    <row r="26" spans="1:150" ht="23.25" customHeight="1" x14ac:dyDescent="0.25">
      <c r="A26" s="140" t="str">
        <f>IF(Q26=S26,Q26,"Total other income (expense), net")</f>
        <v>Total other income, net</v>
      </c>
      <c r="B26" s="140" t="str">
        <f>IF(AC26=AE26,AC26,"Total other income (expense), net")</f>
        <v>Total other income, net</v>
      </c>
      <c r="C26" s="140" t="str">
        <f>IF(A26=B26,A26,"Total other income (expense), net")</f>
        <v>Total other income, net</v>
      </c>
      <c r="E26" s="128">
        <f>HLOOKUP(E$7,$AX$7:$CX$44,$AV26,FALSE)</f>
        <v>4033000</v>
      </c>
      <c r="G26" s="128">
        <f>HLOOKUP(G$7,$AX$7:$CX$44,$AV26,FALSE)</f>
        <v>6607000</v>
      </c>
      <c r="I26" s="128">
        <f>HLOOKUP(I$7,$AX$7:$CX$44,$AV26,FALSE)</f>
        <v>-736000</v>
      </c>
      <c r="K26" s="128">
        <f>HLOOKUP(K$7,$CX$7:$ET$44,$AV26,FALSE)</f>
        <v>12674000</v>
      </c>
      <c r="M26" s="128">
        <f>HLOOKUP(M$7,$CX$7:$ET$44,$AV26,FALSE)</f>
        <v>17887000</v>
      </c>
      <c r="O26" s="128">
        <f>HLOOKUP(O$7,$CX$7:$ET$44,$AV26,FALSE)</f>
        <v>2211000</v>
      </c>
      <c r="Q26" s="125" t="str">
        <f>IF(E26&gt;0,"Total other income, net","Total other expense, net")</f>
        <v>Total other income, net</v>
      </c>
      <c r="S26" s="125" t="str">
        <f>IF(G26&gt;0,"Total other income, net","Total other expense, net")</f>
        <v>Total other income, net</v>
      </c>
      <c r="U26" s="125" t="str">
        <f>IF(I26&gt;0,"Total other income, net","Total other expense, net")</f>
        <v>Total other expense, net</v>
      </c>
      <c r="W26" s="102" t="str">
        <f>IF(E26&gt;0,"total other income, net","total other expense, net")</f>
        <v>total other income, net</v>
      </c>
      <c r="Y26" s="102" t="str">
        <f>IF(G26&gt;0,"total other income, net","total other expense, net")</f>
        <v>total other income, net</v>
      </c>
      <c r="AA26" s="125" t="str">
        <f>IF(I26&gt;0,"total other income, net","total other expense, net")</f>
        <v>total other expense, net</v>
      </c>
      <c r="AC26" s="125" t="str">
        <f>IF(K26&gt;0,"Total other income, net","Total other expense, net")</f>
        <v>Total other income, net</v>
      </c>
      <c r="AE26" s="125" t="str">
        <f>IF(M26&gt;0,"Total other income, net","Total other expense, net")</f>
        <v>Total other income, net</v>
      </c>
      <c r="AG26" s="125" t="str">
        <f>IF(O26&gt;0,"Total other income, net","Total other expense, net")</f>
        <v>Total other income, net</v>
      </c>
      <c r="AO26" s="126">
        <f>+AP26/ABS(G26)</f>
        <v>-0.38958680187679734</v>
      </c>
      <c r="AP26" s="72">
        <f>+E26-G26</f>
        <v>-2574000</v>
      </c>
      <c r="AR26" s="126">
        <f>+AS26/ABS(M26)</f>
        <v>-0.29144071113098896</v>
      </c>
      <c r="AS26" s="72">
        <f>+K26-M26</f>
        <v>-5213000</v>
      </c>
      <c r="AV26" s="127">
        <f t="shared" si="0"/>
        <v>20</v>
      </c>
      <c r="AX26" s="172"/>
      <c r="AZ26" s="75">
        <v>4444000</v>
      </c>
      <c r="BA26" s="75">
        <v>4197000</v>
      </c>
      <c r="BB26" s="75">
        <v>4033000</v>
      </c>
      <c r="BC26" s="75">
        <v>0</v>
      </c>
      <c r="BD26" s="75">
        <f>SUM(AZ26:BC26)</f>
        <v>12674000</v>
      </c>
      <c r="BF26" s="75">
        <v>4849000</v>
      </c>
      <c r="BG26" s="75">
        <v>6431000</v>
      </c>
      <c r="BH26" s="75">
        <v>6607000</v>
      </c>
      <c r="BI26" s="75">
        <v>5070000</v>
      </c>
      <c r="BJ26" s="75">
        <f>SUM(BF26:BI26)</f>
        <v>22957000</v>
      </c>
      <c r="BL26" s="75">
        <v>699000</v>
      </c>
      <c r="BM26" s="75">
        <v>2248000</v>
      </c>
      <c r="BN26" s="75">
        <v>-736000</v>
      </c>
      <c r="BO26" s="75">
        <v>4735000</v>
      </c>
      <c r="BP26" s="75">
        <f>SUM(BL26:BO26)</f>
        <v>6946000</v>
      </c>
      <c r="BR26" s="75">
        <v>30601000</v>
      </c>
      <c r="BS26" s="75">
        <v>150000</v>
      </c>
      <c r="BT26" s="75">
        <v>-241000</v>
      </c>
      <c r="BU26" s="75">
        <v>-47000</v>
      </c>
      <c r="BV26" s="75">
        <f>SUM(BR26:BU26)</f>
        <v>30463000</v>
      </c>
      <c r="BX26" s="75">
        <v>463000</v>
      </c>
      <c r="BY26" s="75">
        <v>-225000</v>
      </c>
      <c r="BZ26" s="75">
        <v>-86000</v>
      </c>
      <c r="CA26" s="75">
        <v>-404000</v>
      </c>
      <c r="CB26" s="75">
        <f>SUM(BX26:CA26)</f>
        <v>-252000</v>
      </c>
      <c r="CD26" s="75">
        <v>5882000</v>
      </c>
      <c r="CE26" s="75">
        <v>4780000</v>
      </c>
      <c r="CF26" s="75">
        <v>3158000</v>
      </c>
      <c r="CG26" s="75">
        <v>1565000</v>
      </c>
      <c r="CH26" s="75">
        <f>SUM(CD26:CG26)</f>
        <v>15385000</v>
      </c>
      <c r="CJ26" s="75">
        <v>356000</v>
      </c>
      <c r="CK26" s="75">
        <v>-281000</v>
      </c>
      <c r="CL26" s="75">
        <v>10404000</v>
      </c>
      <c r="CM26" s="75">
        <v>8311000</v>
      </c>
      <c r="CN26" s="75">
        <f>SUM(CJ26:CM26)</f>
        <v>18790000</v>
      </c>
      <c r="CP26" s="75">
        <v>-580000</v>
      </c>
      <c r="CQ26" s="75">
        <v>263000</v>
      </c>
      <c r="CR26" s="75">
        <v>432000</v>
      </c>
      <c r="CS26" s="75">
        <v>387000</v>
      </c>
      <c r="CT26" s="75">
        <v>502000</v>
      </c>
      <c r="CV26" s="75">
        <v>652000</v>
      </c>
      <c r="CX26" s="167"/>
      <c r="CZ26" s="129">
        <f>+AZ26</f>
        <v>4444000</v>
      </c>
      <c r="DA26" s="129">
        <f>SUM($AZ26:BA26)</f>
        <v>8641000</v>
      </c>
      <c r="DB26" s="129">
        <f>SUM($AZ26:BB26)</f>
        <v>12674000</v>
      </c>
      <c r="DC26" s="129">
        <f>SUM($AZ26:BC26)</f>
        <v>12674000</v>
      </c>
      <c r="DD26" s="129">
        <f>+DC26</f>
        <v>12674000</v>
      </c>
      <c r="DF26" s="129">
        <f>+BF26</f>
        <v>4849000</v>
      </c>
      <c r="DG26" s="129">
        <f>SUM($BF26:BG26)</f>
        <v>11280000</v>
      </c>
      <c r="DH26" s="129">
        <f>SUM($BF26:BH26)</f>
        <v>17887000</v>
      </c>
      <c r="DI26" s="129">
        <f>SUM($BF26:BI26)</f>
        <v>22957000</v>
      </c>
      <c r="DJ26" s="129">
        <f>+DI26</f>
        <v>22957000</v>
      </c>
      <c r="DL26" s="129">
        <f>+BL26</f>
        <v>699000</v>
      </c>
      <c r="DM26" s="129">
        <f>SUM($BL26:BM26)</f>
        <v>2947000</v>
      </c>
      <c r="DN26" s="129">
        <f>SUM($BL26:BN26)</f>
        <v>2211000</v>
      </c>
      <c r="DO26" s="129">
        <f>SUM($BL26:BO26)</f>
        <v>6946000</v>
      </c>
      <c r="DP26" s="129">
        <f>+DO26</f>
        <v>6946000</v>
      </c>
      <c r="DR26" s="129">
        <f>+BR26</f>
        <v>30601000</v>
      </c>
      <c r="DS26" s="129">
        <f>SUM($BR26:BS26)</f>
        <v>30751000</v>
      </c>
      <c r="DT26" s="129">
        <f>SUM($BR26:BT26)</f>
        <v>30510000</v>
      </c>
      <c r="DU26" s="129">
        <f>SUM($BR26:BU26)</f>
        <v>30463000</v>
      </c>
      <c r="DV26" s="129">
        <f>+DU26</f>
        <v>30463000</v>
      </c>
      <c r="DX26" s="129">
        <f>+BX26</f>
        <v>463000</v>
      </c>
      <c r="DY26" s="129">
        <f>SUM($BX26:BY26)</f>
        <v>238000</v>
      </c>
      <c r="DZ26" s="129">
        <f>SUM($BX26:BZ26)</f>
        <v>152000</v>
      </c>
      <c r="EA26" s="129">
        <f>SUM($BX26:CA26)</f>
        <v>-252000</v>
      </c>
      <c r="EB26" s="129">
        <f>+EA26</f>
        <v>-252000</v>
      </c>
      <c r="ED26" s="129">
        <f>+CD26</f>
        <v>5882000</v>
      </c>
      <c r="EE26" s="129">
        <f>SUM($CD26:CE26)</f>
        <v>10662000</v>
      </c>
      <c r="EF26" s="129">
        <f>SUM($CD26:CF26)</f>
        <v>13820000</v>
      </c>
      <c r="EG26" s="129">
        <f>SUM($CD26:CG26)</f>
        <v>15385000</v>
      </c>
      <c r="EH26" s="129">
        <f>+EG26</f>
        <v>15385000</v>
      </c>
      <c r="EJ26" s="129">
        <f>+CJ26</f>
        <v>356000</v>
      </c>
      <c r="EK26" s="129">
        <f>SUM($CJ26:CK26)</f>
        <v>75000</v>
      </c>
      <c r="EL26" s="129">
        <f>SUM($CJ26:CL26)</f>
        <v>10479000</v>
      </c>
      <c r="EM26" s="129">
        <f>SUM($CJ26:CM26)</f>
        <v>18790000</v>
      </c>
      <c r="EN26" s="129">
        <f>+EM26</f>
        <v>18790000</v>
      </c>
      <c r="EP26" s="129">
        <f>+CP26</f>
        <v>-580000</v>
      </c>
      <c r="EQ26" s="129">
        <f>SUM($CP26:CQ26)</f>
        <v>-317000</v>
      </c>
      <c r="ER26" s="129">
        <f>SUM($CP26:CR26)</f>
        <v>115000</v>
      </c>
      <c r="ES26" s="129">
        <f>SUM($CP26:CS26)</f>
        <v>502000</v>
      </c>
      <c r="ET26" s="129">
        <f>+ES26</f>
        <v>502000</v>
      </c>
    </row>
    <row r="27" spans="1:150" ht="15.75" customHeight="1" x14ac:dyDescent="0.25">
      <c r="E27" s="102"/>
      <c r="F27" s="102"/>
      <c r="G27" s="102"/>
      <c r="H27" s="102"/>
      <c r="I27" s="102"/>
      <c r="K27" s="102"/>
      <c r="L27" s="102"/>
      <c r="M27" s="102"/>
      <c r="N27" s="102"/>
      <c r="O27" s="102"/>
      <c r="Q27" s="125" t="str">
        <f>IF(E26&gt;G26,"increase","decrease")</f>
        <v>decrease</v>
      </c>
      <c r="S27" s="125" t="str">
        <f>IF(G26&gt;I26,"increase","decrease")</f>
        <v>increase</v>
      </c>
      <c r="AV27" s="127">
        <f t="shared" si="0"/>
        <v>21</v>
      </c>
      <c r="AX27" s="167"/>
      <c r="AZ27" s="102"/>
      <c r="BA27" s="102"/>
      <c r="BB27" s="102"/>
      <c r="BC27" s="102"/>
      <c r="BD27" s="102"/>
      <c r="BF27" s="102"/>
      <c r="BG27" s="102"/>
      <c r="BH27" s="102"/>
      <c r="BI27" s="102"/>
      <c r="BJ27" s="102"/>
      <c r="BL27" s="102"/>
      <c r="BM27" s="102"/>
      <c r="BN27" s="102"/>
      <c r="BO27" s="102"/>
      <c r="BP27" s="102"/>
      <c r="BR27" s="102"/>
      <c r="BS27" s="102"/>
      <c r="BT27" s="102"/>
      <c r="BU27" s="102"/>
      <c r="BV27" s="102"/>
      <c r="BX27" s="102"/>
      <c r="BY27" s="102"/>
      <c r="BZ27" s="102"/>
      <c r="CA27" s="102"/>
      <c r="CB27" s="102"/>
      <c r="CD27" s="102"/>
      <c r="CE27" s="102"/>
      <c r="CF27" s="102"/>
      <c r="CG27" s="102"/>
      <c r="CH27" s="102"/>
      <c r="CJ27" s="102"/>
      <c r="CK27" s="102"/>
      <c r="CL27" s="102"/>
      <c r="CM27" s="102"/>
      <c r="CN27" s="102"/>
      <c r="CP27" s="102"/>
      <c r="CQ27" s="102"/>
      <c r="CR27" s="102"/>
      <c r="CS27" s="102"/>
      <c r="CT27" s="102"/>
      <c r="CV27" s="102"/>
      <c r="CX27" s="167"/>
      <c r="CZ27" s="102"/>
      <c r="DA27" s="102"/>
      <c r="DB27" s="102"/>
      <c r="DC27" s="102"/>
      <c r="DD27" s="102"/>
      <c r="DF27" s="102"/>
      <c r="DG27" s="102"/>
      <c r="DH27" s="102"/>
      <c r="DI27" s="102"/>
      <c r="DJ27" s="102"/>
      <c r="DL27" s="102"/>
      <c r="DM27" s="102"/>
      <c r="DN27" s="102"/>
      <c r="DO27" s="102"/>
      <c r="DP27" s="102"/>
      <c r="DR27" s="102"/>
      <c r="DS27" s="102"/>
      <c r="DT27" s="102"/>
      <c r="DU27" s="102"/>
      <c r="DV27" s="102"/>
      <c r="DX27" s="102"/>
      <c r="DY27" s="102"/>
      <c r="DZ27" s="102"/>
      <c r="EA27" s="102"/>
      <c r="EB27" s="102"/>
      <c r="ED27" s="102"/>
      <c r="EE27" s="102"/>
      <c r="EF27" s="102"/>
      <c r="EG27" s="102"/>
      <c r="EH27" s="102"/>
      <c r="EJ27" s="102"/>
      <c r="EK27" s="102"/>
      <c r="EL27" s="102"/>
      <c r="EM27" s="102"/>
      <c r="EN27" s="102"/>
      <c r="EP27" s="102"/>
      <c r="EQ27" s="102"/>
      <c r="ER27" s="102"/>
      <c r="ES27" s="102"/>
      <c r="ET27" s="102"/>
    </row>
    <row r="28" spans="1:150" ht="32.5" customHeight="1" x14ac:dyDescent="0.25">
      <c r="A28" s="140" t="str">
        <f>IF(Q28=S28,Q28,"Income (loss) from continuing operations before income taxes")</f>
        <v>income from continuing operations before income taxes</v>
      </c>
      <c r="B28" s="140" t="str">
        <f>IF(AC28=AE28,AC28,"Income (loss) from continuing operations before income taxes")</f>
        <v>Income from continuing operations before income taxes</v>
      </c>
      <c r="C28" s="140" t="str">
        <f>IF(A28=B28,A28,"Income (loss) from continuing operations before income taxes")</f>
        <v>income from continuing operations before income taxes</v>
      </c>
      <c r="E28" s="72">
        <f>+E22+E26</f>
        <v>18706000</v>
      </c>
      <c r="G28" s="72">
        <f>+G22+G26</f>
        <v>21808000</v>
      </c>
      <c r="I28" s="72">
        <f>+I22+I26</f>
        <v>-24685000</v>
      </c>
      <c r="K28" s="72">
        <f>+K22+K26</f>
        <v>29586000</v>
      </c>
      <c r="M28" s="72">
        <f>+M22+M26</f>
        <v>43566000</v>
      </c>
      <c r="O28" s="72">
        <f>+O22+O26</f>
        <v>-76462000</v>
      </c>
      <c r="Q28" s="125" t="str">
        <f>IF(E28&gt;0,"income from continuing operations before income taxes","loss from continuing operations before income taxes")</f>
        <v>income from continuing operations before income taxes</v>
      </c>
      <c r="S28" s="125" t="str">
        <f>IF(G28&gt;0,"income from continuing operations before income taxes","loss from continuing operations before income taxes")</f>
        <v>income from continuing operations before income taxes</v>
      </c>
      <c r="U28" s="125" t="str">
        <f>IF(I28&gt;0,"income from continuing operations before income taxes","loss from continuing operations before income taxes")</f>
        <v>loss from continuing operations before income taxes</v>
      </c>
      <c r="W28" s="125" t="str">
        <f>IF(E28&lt;0,"loss","income")</f>
        <v>income</v>
      </c>
      <c r="Y28" s="125" t="str">
        <f>IF(G28&lt;0,"loss","income")</f>
        <v>income</v>
      </c>
      <c r="AA28" s="125" t="str">
        <f>IF(I28&lt;0,"loss","income")</f>
        <v>loss</v>
      </c>
      <c r="AC28" s="125" t="str">
        <f>IF(K28&gt;0,"Income from continuing operations before income taxes","Loss from continuing operations before income taxes")</f>
        <v>Income from continuing operations before income taxes</v>
      </c>
      <c r="AE28" s="125" t="str">
        <f>IF(M28&gt;0,"Income from continuing operations before income taxes","Loss from continuing operations before income taxes")</f>
        <v>Income from continuing operations before income taxes</v>
      </c>
      <c r="AG28" s="125" t="str">
        <f>IF(O28&gt;0,"Income from continuing operations before income taxes","Loss from continuing operations before income taxes")</f>
        <v>Loss from continuing operations before income taxes</v>
      </c>
      <c r="AI28" s="125" t="str">
        <f>IF(K28&lt;0,"loss","income")</f>
        <v>income</v>
      </c>
      <c r="AK28" s="125" t="str">
        <f>IF(M28&lt;0,"loss","income")</f>
        <v>income</v>
      </c>
      <c r="AM28" s="125" t="str">
        <f>IF(O28&lt;0,"loss","income")</f>
        <v>loss</v>
      </c>
      <c r="AO28" s="126">
        <f>+AP28/ABS(G28)</f>
        <v>-0.14224137931034483</v>
      </c>
      <c r="AP28" s="72">
        <f>+E28-G28</f>
        <v>-3102000</v>
      </c>
      <c r="AR28" s="126">
        <f>+AS28/ABS(M28)</f>
        <v>-0.32089243905798098</v>
      </c>
      <c r="AS28" s="72">
        <f>+K28-M28</f>
        <v>-13980000</v>
      </c>
      <c r="AV28" s="127">
        <f t="shared" si="0"/>
        <v>22</v>
      </c>
      <c r="AX28" s="172"/>
      <c r="AZ28" s="72">
        <f>+AZ22+AZ26</f>
        <v>-804000</v>
      </c>
      <c r="BA28" s="72">
        <f>+BA22+BA26</f>
        <v>11684000</v>
      </c>
      <c r="BB28" s="72">
        <f>+BB22+BB26</f>
        <v>18706000</v>
      </c>
      <c r="BC28" s="72">
        <f>+BC22+BC26</f>
        <v>0</v>
      </c>
      <c r="BD28" s="72">
        <f>+BD22+BD26</f>
        <v>29586000</v>
      </c>
      <c r="BF28" s="72">
        <f>+BF22+BF26</f>
        <v>7119000</v>
      </c>
      <c r="BG28" s="72">
        <f>+BG22+BG26</f>
        <v>14639000</v>
      </c>
      <c r="BH28" s="72">
        <f>+BH22+BH26</f>
        <v>21808000</v>
      </c>
      <c r="BI28" s="72">
        <f>+BI22+BI26</f>
        <v>-9205000</v>
      </c>
      <c r="BJ28" s="72">
        <f>+BJ22+BJ26</f>
        <v>34361000</v>
      </c>
      <c r="BL28" s="72">
        <f>+BL22+BL26</f>
        <v>-24903000</v>
      </c>
      <c r="BM28" s="72">
        <f>+BM22+BM26</f>
        <v>-26874000</v>
      </c>
      <c r="BN28" s="72">
        <f>+BN22+BN26</f>
        <v>-24685000</v>
      </c>
      <c r="BO28" s="72">
        <f>+BO22+BO26</f>
        <v>-42392000</v>
      </c>
      <c r="BP28" s="72">
        <f>+BP22+BP26</f>
        <v>-118854000</v>
      </c>
      <c r="BR28" s="72">
        <f>+BR22+BR26</f>
        <v>13000000</v>
      </c>
      <c r="BS28" s="72">
        <f>+BS22+BS26</f>
        <v>-6032000</v>
      </c>
      <c r="BT28" s="72">
        <f>+BT22+BT26</f>
        <v>-14027000</v>
      </c>
      <c r="BU28" s="72">
        <f>+BU22+BU26</f>
        <v>-28016000</v>
      </c>
      <c r="BV28" s="72">
        <f>+BV22+BV26</f>
        <v>-35075000</v>
      </c>
      <c r="BX28" s="72">
        <f>+BX22+BX26</f>
        <v>-25544000</v>
      </c>
      <c r="BY28" s="72">
        <f>+BY22+BY26</f>
        <v>-27077000</v>
      </c>
      <c r="BZ28" s="72">
        <f>+BZ22+BZ26</f>
        <v>-15867000</v>
      </c>
      <c r="CA28" s="72">
        <f>+CA22+CA26</f>
        <v>-52312000</v>
      </c>
      <c r="CB28" s="72">
        <f>+CB22+CB26</f>
        <v>-120800000</v>
      </c>
      <c r="CD28" s="72">
        <f>+CD22+CD26</f>
        <v>-42493000</v>
      </c>
      <c r="CE28" s="72">
        <f>+CE22+CE26</f>
        <v>-45493000</v>
      </c>
      <c r="CF28" s="72">
        <f>+CF22+CF26</f>
        <v>-38327000</v>
      </c>
      <c r="CG28" s="72">
        <f>+CG22+CG26</f>
        <v>-39224000</v>
      </c>
      <c r="CH28" s="72">
        <f>+CH22+CH26</f>
        <v>-165537000</v>
      </c>
      <c r="CJ28" s="72">
        <f>+CJ22+CJ26</f>
        <v>-29246000</v>
      </c>
      <c r="CK28" s="72">
        <f>+CK22+CK26</f>
        <v>-38480000</v>
      </c>
      <c r="CL28" s="72">
        <f>+CL22+CL26</f>
        <v>-37807000</v>
      </c>
      <c r="CM28" s="72">
        <f>+CM22+CM26</f>
        <v>-73823000</v>
      </c>
      <c r="CN28" s="72">
        <f>+CN22+CN26</f>
        <v>-179356000</v>
      </c>
      <c r="CP28" s="72">
        <f>+CP22+CP26</f>
        <v>-40399000</v>
      </c>
      <c r="CQ28" s="72">
        <f>+CQ22+CQ26</f>
        <v>-37870000</v>
      </c>
      <c r="CR28" s="72">
        <f>+CR22+CR26</f>
        <v>-27257000</v>
      </c>
      <c r="CS28" s="72">
        <f>+CS22+CS26</f>
        <v>-27496000</v>
      </c>
      <c r="CT28" s="72">
        <f>+CT22+CT26</f>
        <v>-133022000</v>
      </c>
      <c r="CV28" s="72">
        <f>+CV22+CV26</f>
        <v>-130760000</v>
      </c>
      <c r="CX28" s="167"/>
      <c r="CZ28" s="72">
        <f>+CZ22+CZ26</f>
        <v>-804000</v>
      </c>
      <c r="DA28" s="72">
        <f>+DA22+DA26</f>
        <v>10880000</v>
      </c>
      <c r="DB28" s="72">
        <f>+DB22+DB26</f>
        <v>29586000</v>
      </c>
      <c r="DC28" s="72">
        <f>+DC22+DC26</f>
        <v>29586000</v>
      </c>
      <c r="DD28" s="72">
        <f>+DD22+DD26</f>
        <v>29586000</v>
      </c>
      <c r="DF28" s="72">
        <f>+DF22+DF26</f>
        <v>7119000</v>
      </c>
      <c r="DG28" s="72">
        <f>+DG22+DG26</f>
        <v>21758000</v>
      </c>
      <c r="DH28" s="72">
        <f>+DH22+DH26</f>
        <v>43566000</v>
      </c>
      <c r="DI28" s="72">
        <f>+DI22+DI26</f>
        <v>34361000</v>
      </c>
      <c r="DJ28" s="72">
        <f>+DJ22+DJ26</f>
        <v>34361000</v>
      </c>
      <c r="DL28" s="72">
        <f>+DL22+DL26</f>
        <v>-24903000</v>
      </c>
      <c r="DM28" s="72">
        <f>+DM22+DM26</f>
        <v>-51777000</v>
      </c>
      <c r="DN28" s="72">
        <f>+DN22+DN26</f>
        <v>-76462000</v>
      </c>
      <c r="DO28" s="72">
        <f>+DO22+DO26</f>
        <v>-118854000</v>
      </c>
      <c r="DP28" s="72">
        <f>+DP22+DP26</f>
        <v>-118854000</v>
      </c>
      <c r="DR28" s="72">
        <f>+DR22+DR26</f>
        <v>13000000</v>
      </c>
      <c r="DS28" s="72">
        <f>+DS22+DS26</f>
        <v>6968000</v>
      </c>
      <c r="DT28" s="72">
        <f>+DT22+DT26</f>
        <v>-7059000</v>
      </c>
      <c r="DU28" s="72">
        <f>+DU22+DU26</f>
        <v>-35075000</v>
      </c>
      <c r="DV28" s="72">
        <f>+DV22+DV26</f>
        <v>-35075000</v>
      </c>
      <c r="DX28" s="72">
        <f>+DX22+DX26</f>
        <v>-25544000</v>
      </c>
      <c r="DY28" s="72">
        <f>+DY22+DY26</f>
        <v>-52621000</v>
      </c>
      <c r="DZ28" s="72">
        <f>+DZ22+DZ26</f>
        <v>-68488000</v>
      </c>
      <c r="EA28" s="72">
        <f>+EA22+EA26</f>
        <v>-120800000</v>
      </c>
      <c r="EB28" s="72">
        <f>+EB22+EB26</f>
        <v>-120800000</v>
      </c>
      <c r="ED28" s="72">
        <f>+ED22+ED26</f>
        <v>-42493000</v>
      </c>
      <c r="EE28" s="72">
        <f>+EE22+EE26</f>
        <v>-87986000</v>
      </c>
      <c r="EF28" s="72">
        <f>+EF22+EF26</f>
        <v>-126313000</v>
      </c>
      <c r="EG28" s="72">
        <f>+EG22+EG26</f>
        <v>-165537000</v>
      </c>
      <c r="EH28" s="72">
        <f>+EH22+EH26</f>
        <v>-165537000</v>
      </c>
      <c r="EJ28" s="72">
        <f>+EJ22+EJ26</f>
        <v>-29246000</v>
      </c>
      <c r="EK28" s="72">
        <f>+EK22+EK26</f>
        <v>-67726000</v>
      </c>
      <c r="EL28" s="72">
        <f>+EL22+EL26</f>
        <v>-105533000</v>
      </c>
      <c r="EM28" s="72">
        <f>+EM22+EM26</f>
        <v>-179356000</v>
      </c>
      <c r="EN28" s="72">
        <f>+EN22+EN26</f>
        <v>-179356000</v>
      </c>
      <c r="EP28" s="72">
        <f>+EP22+EP26</f>
        <v>-40399000</v>
      </c>
      <c r="EQ28" s="72">
        <f>+EQ22+EQ26</f>
        <v>-78269000</v>
      </c>
      <c r="ER28" s="72">
        <f>+ER22+ER26</f>
        <v>-105526000</v>
      </c>
      <c r="ES28" s="72">
        <f>+ES22+ES26</f>
        <v>-133022000</v>
      </c>
      <c r="ET28" s="72">
        <f>+ET22+ET26</f>
        <v>-133022000</v>
      </c>
    </row>
    <row r="29" spans="1:150" ht="23.25" customHeight="1" x14ac:dyDescent="0.25">
      <c r="A29" s="140" t="str">
        <f>IF(Q29=S29,Q29,"Income tax expense (benefit)")</f>
        <v>Income tax expense</v>
      </c>
      <c r="B29" s="140" t="str">
        <f>IF(AC29=AE29,AC29,"Income tax expense (benefit)")</f>
        <v>Income tax expense</v>
      </c>
      <c r="C29" s="140" t="str">
        <f>IF(A29=B29,A29,"Income tax expense (benefit)")</f>
        <v>Income tax expense</v>
      </c>
      <c r="E29" s="128">
        <f>HLOOKUP(E$7,$AX$7:$CX$44,$AV29,FALSE)</f>
        <v>9184000</v>
      </c>
      <c r="G29" s="128">
        <f>HLOOKUP(G$7,$AX$7:$CX$44,$AV29,FALSE)</f>
        <v>8429000</v>
      </c>
      <c r="I29" s="128">
        <f>HLOOKUP(I$7,$AX$7:$CX$44,$AV29,FALSE)</f>
        <v>5835000</v>
      </c>
      <c r="K29" s="128">
        <f>HLOOKUP(K$7,$CX$7:$ET$44,$AV29,FALSE)</f>
        <v>25821000</v>
      </c>
      <c r="M29" s="128">
        <f>HLOOKUP(M$7,$CX$7:$ET$44,$AV29,FALSE)</f>
        <v>27297000</v>
      </c>
      <c r="O29" s="128">
        <f>HLOOKUP(O$7,$CX$7:$ET$44,$AV29,FALSE)</f>
        <v>11712000</v>
      </c>
      <c r="Q29" s="125" t="str">
        <f>IF(E29&gt;0,"Income tax expense","Income tax benefit")</f>
        <v>Income tax expense</v>
      </c>
      <c r="S29" s="125" t="str">
        <f>IF(G29&gt;0,"income tax expense","income tax benefit")</f>
        <v>income tax expense</v>
      </c>
      <c r="U29" s="125" t="str">
        <f>IF(I29&gt;0,"Income tax expense","Income tax benefit")</f>
        <v>Income tax expense</v>
      </c>
      <c r="W29" s="125" t="str">
        <f>IF(E29&gt;0,"income tax expense","income tax benefit")</f>
        <v>income tax expense</v>
      </c>
      <c r="Y29" s="125" t="str">
        <f>IF(G29&gt;0,"income tax expense","income tax benefit")</f>
        <v>income tax expense</v>
      </c>
      <c r="AA29" s="125" t="str">
        <f>IF(I29&gt;0,"income tax expense","income tax benefit")</f>
        <v>income tax expense</v>
      </c>
      <c r="AC29" s="125" t="str">
        <f>IF(K29&gt;0,"Income tax expense","Income tax benefit")</f>
        <v>Income tax expense</v>
      </c>
      <c r="AE29" s="125" t="str">
        <f>IF(M29&gt;0,"Income tax expense","Income tax benefit")</f>
        <v>Income tax expense</v>
      </c>
      <c r="AG29" s="125" t="str">
        <f>IF(O29&gt;0,"Income tax expense","Income tax benefit")</f>
        <v>Income tax expense</v>
      </c>
      <c r="AI29" s="125" t="str">
        <f>IF(K29&gt;0,"income tax expense","income tax benefit")</f>
        <v>income tax expense</v>
      </c>
      <c r="AK29" s="125" t="str">
        <f>IF(M29&gt;0,"income tax expense","income tax benefit")</f>
        <v>income tax expense</v>
      </c>
      <c r="AM29" s="125" t="str">
        <f>IF(O29&gt;0,"income tax expense","income tax benefit")</f>
        <v>income tax expense</v>
      </c>
      <c r="AO29" s="126">
        <f>+AP29/ABS(G29)</f>
        <v>8.9571716692371572E-2</v>
      </c>
      <c r="AP29" s="72">
        <f>+E29-G29</f>
        <v>755000</v>
      </c>
      <c r="AR29" s="126">
        <f>+AS29/ABS(M29)</f>
        <v>-5.4071876030333005E-2</v>
      </c>
      <c r="AS29" s="72">
        <f>+K29-M29</f>
        <v>-1476000</v>
      </c>
      <c r="AV29" s="127">
        <f t="shared" si="0"/>
        <v>23</v>
      </c>
      <c r="AX29" s="172"/>
      <c r="AZ29" s="75">
        <v>6685000</v>
      </c>
      <c r="BA29" s="75">
        <v>9952000</v>
      </c>
      <c r="BB29" s="75">
        <v>9184000</v>
      </c>
      <c r="BC29" s="75">
        <v>0</v>
      </c>
      <c r="BD29" s="75">
        <f>SUM(AZ29:BC29)</f>
        <v>25821000</v>
      </c>
      <c r="BF29" s="75">
        <v>8705000</v>
      </c>
      <c r="BG29" s="75">
        <v>10163000</v>
      </c>
      <c r="BH29" s="75">
        <v>8429000</v>
      </c>
      <c r="BI29" s="75">
        <v>-3027000</v>
      </c>
      <c r="BJ29" s="75">
        <f>SUM(BF29:BI29)</f>
        <v>24270000</v>
      </c>
      <c r="BL29" s="75">
        <v>2315000</v>
      </c>
      <c r="BM29" s="75">
        <v>3562000</v>
      </c>
      <c r="BN29" s="75">
        <v>5835000</v>
      </c>
      <c r="BO29" s="75">
        <v>-6460000</v>
      </c>
      <c r="BP29" s="75">
        <f>SUM(BL29:BO29)</f>
        <v>5252000</v>
      </c>
      <c r="BR29" s="75">
        <v>-4365000</v>
      </c>
      <c r="BS29" s="75">
        <v>399000</v>
      </c>
      <c r="BT29" s="75">
        <v>1348000</v>
      </c>
      <c r="BU29" s="75">
        <v>1376000</v>
      </c>
      <c r="BV29" s="75">
        <f>SUM(BR29:BU29)</f>
        <v>-1242000</v>
      </c>
      <c r="BX29" s="75">
        <v>-3816000</v>
      </c>
      <c r="BY29" s="75">
        <v>-3109000</v>
      </c>
      <c r="BZ29" s="75">
        <v>-4142000</v>
      </c>
      <c r="CA29" s="75">
        <v>-19465000</v>
      </c>
      <c r="CB29" s="75">
        <f>SUM(BX29:CA29)</f>
        <v>-30532000</v>
      </c>
      <c r="CD29" s="75">
        <v>-353000</v>
      </c>
      <c r="CE29" s="75">
        <v>-5291000</v>
      </c>
      <c r="CF29" s="75">
        <v>-287000</v>
      </c>
      <c r="CG29" s="75">
        <v>-34345000</v>
      </c>
      <c r="CH29" s="75">
        <f>SUM(CD29:CG29)</f>
        <v>-40276000</v>
      </c>
      <c r="CJ29" s="75">
        <v>-1428000</v>
      </c>
      <c r="CK29" s="75">
        <v>2700000</v>
      </c>
      <c r="CL29" s="75">
        <v>-22546000</v>
      </c>
      <c r="CM29" s="75">
        <v>-24135000</v>
      </c>
      <c r="CN29" s="75">
        <f>SUM(CJ29:CM29)</f>
        <v>-45409000</v>
      </c>
      <c r="CP29" s="75">
        <v>-14184000</v>
      </c>
      <c r="CQ29" s="75">
        <v>-12679000</v>
      </c>
      <c r="CR29" s="75">
        <v>-30374000</v>
      </c>
      <c r="CS29" s="75">
        <v>-8486000</v>
      </c>
      <c r="CT29" s="75">
        <v>-65723000</v>
      </c>
      <c r="CV29" s="75">
        <v>-45184000</v>
      </c>
      <c r="CX29" s="167"/>
      <c r="CZ29" s="129">
        <f>+AZ29</f>
        <v>6685000</v>
      </c>
      <c r="DA29" s="129">
        <f>SUM($AZ29:BA29)</f>
        <v>16637000</v>
      </c>
      <c r="DB29" s="129">
        <f>SUM($AZ29:BB29)</f>
        <v>25821000</v>
      </c>
      <c r="DC29" s="129">
        <f>SUM($AZ29:BC29)</f>
        <v>25821000</v>
      </c>
      <c r="DD29" s="129">
        <f>+DC29</f>
        <v>25821000</v>
      </c>
      <c r="DF29" s="129">
        <f>+BF29</f>
        <v>8705000</v>
      </c>
      <c r="DG29" s="129">
        <f>SUM($BF29:BG29)</f>
        <v>18868000</v>
      </c>
      <c r="DH29" s="129">
        <f>SUM($BF29:BH29)</f>
        <v>27297000</v>
      </c>
      <c r="DI29" s="129">
        <f>SUM($BF29:BI29)</f>
        <v>24270000</v>
      </c>
      <c r="DJ29" s="129">
        <f>+DI29</f>
        <v>24270000</v>
      </c>
      <c r="DL29" s="129">
        <f>+BL29</f>
        <v>2315000</v>
      </c>
      <c r="DM29" s="129">
        <f>SUM($BL29:BM29)</f>
        <v>5877000</v>
      </c>
      <c r="DN29" s="129">
        <f>SUM($BL29:BN29)</f>
        <v>11712000</v>
      </c>
      <c r="DO29" s="129">
        <f>SUM($BL29:BO29)</f>
        <v>5252000</v>
      </c>
      <c r="DP29" s="129">
        <f>+DO29</f>
        <v>5252000</v>
      </c>
      <c r="DR29" s="129">
        <f>+BR29</f>
        <v>-4365000</v>
      </c>
      <c r="DS29" s="129">
        <f>SUM($BR29:BS29)</f>
        <v>-3966000</v>
      </c>
      <c r="DT29" s="129">
        <f>SUM($BR29:BT29)</f>
        <v>-2618000</v>
      </c>
      <c r="DU29" s="129">
        <f>SUM($BR29:BU29)</f>
        <v>-1242000</v>
      </c>
      <c r="DV29" s="129">
        <f>+DU29</f>
        <v>-1242000</v>
      </c>
      <c r="DX29" s="129">
        <f>+BX29</f>
        <v>-3816000</v>
      </c>
      <c r="DY29" s="129">
        <f>SUM($BX29:BY29)</f>
        <v>-6925000</v>
      </c>
      <c r="DZ29" s="129">
        <f>SUM($BX29:BZ29)</f>
        <v>-11067000</v>
      </c>
      <c r="EA29" s="129">
        <f>SUM($BX29:CA29)</f>
        <v>-30532000</v>
      </c>
      <c r="EB29" s="129">
        <f>+EA29</f>
        <v>-30532000</v>
      </c>
      <c r="ED29" s="129">
        <f>+CD29</f>
        <v>-353000</v>
      </c>
      <c r="EE29" s="129">
        <f>SUM($CD29:CE29)</f>
        <v>-5644000</v>
      </c>
      <c r="EF29" s="129">
        <f>SUM($CD29:CF29)</f>
        <v>-5931000</v>
      </c>
      <c r="EG29" s="129">
        <f>SUM($CD29:CG29)</f>
        <v>-40276000</v>
      </c>
      <c r="EH29" s="129">
        <f>+EG29</f>
        <v>-40276000</v>
      </c>
      <c r="EJ29" s="129">
        <f>+CJ29</f>
        <v>-1428000</v>
      </c>
      <c r="EK29" s="129">
        <f>SUM($CJ29:CK29)</f>
        <v>1272000</v>
      </c>
      <c r="EL29" s="129">
        <f>SUM($CJ29:CL29)</f>
        <v>-21274000</v>
      </c>
      <c r="EM29" s="129">
        <f>SUM($CJ29:CM29)</f>
        <v>-45409000</v>
      </c>
      <c r="EN29" s="129">
        <f>+EM29</f>
        <v>-45409000</v>
      </c>
      <c r="EP29" s="129">
        <f>+CP29</f>
        <v>-14184000</v>
      </c>
      <c r="EQ29" s="129">
        <f>SUM($CP29:CQ29)</f>
        <v>-26863000</v>
      </c>
      <c r="ER29" s="129">
        <f>SUM($CP29:CR29)</f>
        <v>-57237000</v>
      </c>
      <c r="ES29" s="129">
        <f>SUM($CP29:CS29)</f>
        <v>-65723000</v>
      </c>
      <c r="ET29" s="129">
        <f>+ES29</f>
        <v>-65723000</v>
      </c>
    </row>
    <row r="30" spans="1:150" ht="23.25" customHeight="1" x14ac:dyDescent="0.25">
      <c r="A30" s="140" t="str">
        <f>IF(Q30=S30,Q30,"Net earnings (loss) from continuing operations")</f>
        <v>Net earnings from continuing operations</v>
      </c>
      <c r="B30" s="140" t="str">
        <f>IF(AC30=AE30,AC30,"Net earnings (loss) from continuing operations")</f>
        <v>Net earnings from continuing operations</v>
      </c>
      <c r="C30" s="140" t="str">
        <f>IF(A30=B30,A30,"Net earnings (loss) from continuing operations")</f>
        <v>Net earnings from continuing operations</v>
      </c>
      <c r="E30" s="131">
        <f>+E28-E29</f>
        <v>9522000</v>
      </c>
      <c r="F30" s="163"/>
      <c r="G30" s="131">
        <f>+G28-G29</f>
        <v>13379000</v>
      </c>
      <c r="H30" s="163"/>
      <c r="I30" s="131">
        <f>+I28-I29</f>
        <v>-30520000</v>
      </c>
      <c r="K30" s="131">
        <f>+K28-K29</f>
        <v>3765000</v>
      </c>
      <c r="L30" s="163"/>
      <c r="M30" s="131">
        <f>+M28-M29</f>
        <v>16269000</v>
      </c>
      <c r="N30" s="163"/>
      <c r="O30" s="131">
        <f>+O28-O29</f>
        <v>-88174000</v>
      </c>
      <c r="Q30" s="125" t="str">
        <f>IF(E30&gt;0,"Net earnings from continuing operations","Net loss from continuing operations")</f>
        <v>Net earnings from continuing operations</v>
      </c>
      <c r="S30" s="125" t="str">
        <f>IF(G30&gt;0,"Net earnings from continuing operations","Net loss from continuing operations")</f>
        <v>Net earnings from continuing operations</v>
      </c>
      <c r="U30" s="125" t="str">
        <f>IF(I30&gt;0,"Net earnings from continuing operations","Net loss from continuing operations")</f>
        <v>Net loss from continuing operations</v>
      </c>
      <c r="AC30" s="125" t="str">
        <f>IF(K30&gt;0,"Net earnings from continuing operations","Net loss from continuing operations")</f>
        <v>Net earnings from continuing operations</v>
      </c>
      <c r="AE30" s="125" t="str">
        <f>IF(M30&gt;0,"Net earnings from continuing operations","Net loss from continuing operations")</f>
        <v>Net earnings from continuing operations</v>
      </c>
      <c r="AG30" s="125" t="str">
        <f>IF(O30&gt;0,"Net earnings from continuing operations","Net loss from continuing operations")</f>
        <v>Net loss from continuing operations</v>
      </c>
      <c r="AO30" s="126">
        <f>+AP30/ABS(G30)</f>
        <v>-0.28828761491890276</v>
      </c>
      <c r="AP30" s="72">
        <f>+E30-G30</f>
        <v>-3857000</v>
      </c>
      <c r="AR30" s="126">
        <f>+AS30/ABS(M30)</f>
        <v>-0.76857827770606679</v>
      </c>
      <c r="AS30" s="72">
        <f>+K30-M30</f>
        <v>-12504000</v>
      </c>
      <c r="AV30" s="127">
        <f t="shared" si="0"/>
        <v>24</v>
      </c>
      <c r="AX30" s="172"/>
      <c r="AZ30" s="131">
        <f>+AZ28-AZ29</f>
        <v>-7489000</v>
      </c>
      <c r="BA30" s="131">
        <f>+BA28-BA29</f>
        <v>1732000</v>
      </c>
      <c r="BB30" s="131">
        <f>+BB28-BB29</f>
        <v>9522000</v>
      </c>
      <c r="BC30" s="131">
        <f>+BC28-BC29</f>
        <v>0</v>
      </c>
      <c r="BD30" s="131">
        <f>+BD28-BD29</f>
        <v>3765000</v>
      </c>
      <c r="BF30" s="131">
        <f>+BF28-BF29</f>
        <v>-1586000</v>
      </c>
      <c r="BG30" s="131">
        <f>+BG28-BG29</f>
        <v>4476000</v>
      </c>
      <c r="BH30" s="131">
        <f>+BH28-BH29</f>
        <v>13379000</v>
      </c>
      <c r="BI30" s="131">
        <f>+BI28-BI29</f>
        <v>-6178000</v>
      </c>
      <c r="BJ30" s="131">
        <f>+BJ28-BJ29</f>
        <v>10091000</v>
      </c>
      <c r="BL30" s="131">
        <f>+BL28-BL29</f>
        <v>-27218000</v>
      </c>
      <c r="BM30" s="131">
        <f>+BM28-BM29</f>
        <v>-30436000</v>
      </c>
      <c r="BN30" s="131">
        <f>+BN28-BN29</f>
        <v>-30520000</v>
      </c>
      <c r="BO30" s="131">
        <f>+BO28-BO29</f>
        <v>-35932000</v>
      </c>
      <c r="BP30" s="131">
        <f>+BP28-BP29</f>
        <v>-124106000</v>
      </c>
      <c r="BR30" s="131">
        <f>+BR28-BR29</f>
        <v>17365000</v>
      </c>
      <c r="BS30" s="131">
        <f>+BS28-BS29</f>
        <v>-6431000</v>
      </c>
      <c r="BT30" s="131">
        <f>+BT28-BT29</f>
        <v>-15375000</v>
      </c>
      <c r="BU30" s="131">
        <f>+BU28-BU29</f>
        <v>-29392000</v>
      </c>
      <c r="BV30" s="131">
        <f>+BV28-BV29</f>
        <v>-33833000</v>
      </c>
      <c r="BX30" s="131">
        <f>+BX28-BX29</f>
        <v>-21728000</v>
      </c>
      <c r="BY30" s="131">
        <f>+BY28-BY29</f>
        <v>-23968000</v>
      </c>
      <c r="BZ30" s="131">
        <f>+BZ28-BZ29</f>
        <v>-11725000</v>
      </c>
      <c r="CA30" s="131">
        <f>+CA28-CA29</f>
        <v>-32847000</v>
      </c>
      <c r="CB30" s="131">
        <f>+CB28-CB29</f>
        <v>-90268000</v>
      </c>
      <c r="CD30" s="131">
        <f>+CD28-CD29</f>
        <v>-42140000</v>
      </c>
      <c r="CE30" s="131">
        <f>+CE28-CE29</f>
        <v>-40202000</v>
      </c>
      <c r="CF30" s="131">
        <f>+CF28-CF29</f>
        <v>-38040000</v>
      </c>
      <c r="CG30" s="131">
        <f>+CG28-CG29</f>
        <v>-4879000</v>
      </c>
      <c r="CH30" s="131">
        <f>+CH28-CH29</f>
        <v>-125261000</v>
      </c>
      <c r="CJ30" s="131">
        <f>+CJ28-CJ29</f>
        <v>-27818000</v>
      </c>
      <c r="CK30" s="131">
        <f>+CK28-CK29</f>
        <v>-41180000</v>
      </c>
      <c r="CL30" s="131">
        <f>+CL28-CL29</f>
        <v>-15261000</v>
      </c>
      <c r="CM30" s="131">
        <f>+CM28-CM29</f>
        <v>-49688000</v>
      </c>
      <c r="CN30" s="131">
        <f>+CN28-CN29</f>
        <v>-133947000</v>
      </c>
      <c r="CP30" s="131">
        <f>+CP28-CP29</f>
        <v>-26215000</v>
      </c>
      <c r="CQ30" s="131">
        <f>+CQ28-CQ29</f>
        <v>-25191000</v>
      </c>
      <c r="CR30" s="131">
        <f>+CR28-CR29</f>
        <v>3117000</v>
      </c>
      <c r="CS30" s="131">
        <f>+CS28-CS29</f>
        <v>-19010000</v>
      </c>
      <c r="CT30" s="131">
        <f>+CT28-CT29</f>
        <v>-67299000</v>
      </c>
      <c r="CV30" s="131">
        <f>+CV28-CV29</f>
        <v>-85576000</v>
      </c>
      <c r="CX30" s="167"/>
      <c r="CZ30" s="131">
        <f>+CZ28-CZ29</f>
        <v>-7489000</v>
      </c>
      <c r="DA30" s="131">
        <f>+DA28-DA29</f>
        <v>-5757000</v>
      </c>
      <c r="DB30" s="131">
        <f>+DB28-DB29</f>
        <v>3765000</v>
      </c>
      <c r="DC30" s="131">
        <f>+DC28-DC29</f>
        <v>3765000</v>
      </c>
      <c r="DD30" s="131">
        <f>+DD28-DD29</f>
        <v>3765000</v>
      </c>
      <c r="DF30" s="131">
        <f>+DF28-DF29</f>
        <v>-1586000</v>
      </c>
      <c r="DG30" s="131">
        <f>+DG28-DG29</f>
        <v>2890000</v>
      </c>
      <c r="DH30" s="131">
        <f>+DH28-DH29</f>
        <v>16269000</v>
      </c>
      <c r="DI30" s="131">
        <f>+DI28-DI29</f>
        <v>10091000</v>
      </c>
      <c r="DJ30" s="131">
        <f>+DJ28-DJ29</f>
        <v>10091000</v>
      </c>
      <c r="DL30" s="131">
        <f>+DL28-DL29</f>
        <v>-27218000</v>
      </c>
      <c r="DM30" s="131">
        <f>+DM28-DM29</f>
        <v>-57654000</v>
      </c>
      <c r="DN30" s="131">
        <f>+DN28-DN29</f>
        <v>-88174000</v>
      </c>
      <c r="DO30" s="131">
        <f>+DO28-DO29</f>
        <v>-124106000</v>
      </c>
      <c r="DP30" s="131">
        <f>+DP28-DP29</f>
        <v>-124106000</v>
      </c>
      <c r="DR30" s="131">
        <f>+DR28-DR29</f>
        <v>17365000</v>
      </c>
      <c r="DS30" s="131">
        <f>+DS28-DS29</f>
        <v>10934000</v>
      </c>
      <c r="DT30" s="131">
        <f>+DT28-DT29</f>
        <v>-4441000</v>
      </c>
      <c r="DU30" s="131">
        <f>+DU28-DU29</f>
        <v>-33833000</v>
      </c>
      <c r="DV30" s="131">
        <f>+DV28-DV29</f>
        <v>-33833000</v>
      </c>
      <c r="DX30" s="131">
        <f>+DX28-DX29</f>
        <v>-21728000</v>
      </c>
      <c r="DY30" s="131">
        <f>+DY28-DY29</f>
        <v>-45696000</v>
      </c>
      <c r="DZ30" s="131">
        <f>+DZ28-DZ29</f>
        <v>-57421000</v>
      </c>
      <c r="EA30" s="131">
        <f>+EA28-EA29</f>
        <v>-90268000</v>
      </c>
      <c r="EB30" s="131">
        <f>+EB28-EB29</f>
        <v>-90268000</v>
      </c>
      <c r="ED30" s="131">
        <f>+ED28-ED29</f>
        <v>-42140000</v>
      </c>
      <c r="EE30" s="131">
        <f>+EE28-EE29</f>
        <v>-82342000</v>
      </c>
      <c r="EF30" s="131">
        <f>+EF28-EF29</f>
        <v>-120382000</v>
      </c>
      <c r="EG30" s="131">
        <f>+EG28-EG29</f>
        <v>-125261000</v>
      </c>
      <c r="EH30" s="131">
        <f>+EH28-EH29</f>
        <v>-125261000</v>
      </c>
      <c r="EJ30" s="131">
        <f>+EJ28-EJ29</f>
        <v>-27818000</v>
      </c>
      <c r="EK30" s="131">
        <f>+EK28-EK29</f>
        <v>-68998000</v>
      </c>
      <c r="EL30" s="131">
        <f>+EL28-EL29</f>
        <v>-84259000</v>
      </c>
      <c r="EM30" s="131">
        <f>+EM28-EM29</f>
        <v>-133947000</v>
      </c>
      <c r="EN30" s="131">
        <f>+EN28-EN29</f>
        <v>-133947000</v>
      </c>
      <c r="EP30" s="131">
        <f>+EP28-EP29</f>
        <v>-26215000</v>
      </c>
      <c r="EQ30" s="131">
        <f>+EQ28-EQ29</f>
        <v>-51406000</v>
      </c>
      <c r="ER30" s="131">
        <f>+ER28-ER29</f>
        <v>-48289000</v>
      </c>
      <c r="ES30" s="131">
        <f>+ES28-ES29</f>
        <v>-67299000</v>
      </c>
      <c r="ET30" s="131">
        <f>+ET28-ET29</f>
        <v>-67299000</v>
      </c>
    </row>
    <row r="31" spans="1:150" ht="15.75" customHeight="1" x14ac:dyDescent="0.25">
      <c r="AV31" s="127">
        <f t="shared" si="0"/>
        <v>25</v>
      </c>
      <c r="AX31" s="172"/>
      <c r="CX31" s="167"/>
    </row>
    <row r="32" spans="1:150" ht="32.5" customHeight="1" x14ac:dyDescent="0.25">
      <c r="A32" s="140" t="str">
        <f>IF(Q32=S32,Q32,"Earnings (losses) from discontinued operations, net of tax")</f>
        <v>Earnings from discontinued operations, net of tax</v>
      </c>
      <c r="B32" s="140" t="str">
        <f>IF(AC32=AE32,AC32,"Earnings (losses) from discontinued operations, net of tax")</f>
        <v>Earnings from discontinued operations, net of tax</v>
      </c>
      <c r="C32" s="140" t="str">
        <f>IF(A32=B32,A32,"Earnings from discontinued operations, net of tax")</f>
        <v>Earnings from discontinued operations, net of tax</v>
      </c>
      <c r="E32" s="128">
        <f>HLOOKUP(E$7,$AX$7:$CX$44,$AV32,FALSE)</f>
        <v>1688000</v>
      </c>
      <c r="G32" s="128">
        <f>HLOOKUP(G$7,$AX$7:$CX$44,$AV32,FALSE)</f>
        <v>598000</v>
      </c>
      <c r="I32" s="128">
        <f>HLOOKUP(I$7,$AX$7:$CX$44,$AV32,FALSE)</f>
        <v>836000</v>
      </c>
      <c r="K32" s="128">
        <f>HLOOKUP(K$7,$CX$7:$ET$44,$AV32,FALSE)</f>
        <v>1688000</v>
      </c>
      <c r="M32" s="128">
        <f>HLOOKUP(M$7,$CX$7:$ET$44,$AV32,FALSE)</f>
        <v>985000</v>
      </c>
      <c r="O32" s="128">
        <f>HLOOKUP(O$7,$CX$7:$ET$44,$AV32,FALSE)</f>
        <v>836000</v>
      </c>
      <c r="Q32" s="125" t="str">
        <f>IF(E32&gt;=0,"Earnings from discontinued operations, net of tax","Losses from discontinued operations, net of tax")</f>
        <v>Earnings from discontinued operations, net of tax</v>
      </c>
      <c r="S32" s="125" t="str">
        <f>IF(G32&gt;=0,"Earnings from discontinued operations, net of tax","Losses from discontinued operations, net of tax")</f>
        <v>Earnings from discontinued operations, net of tax</v>
      </c>
      <c r="U32" s="125" t="str">
        <f>IF(I32&gt;=0,"Earnings from discontinued operations, net of tax","Losses from discontinued operations, net of tax")</f>
        <v>Earnings from discontinued operations, net of tax</v>
      </c>
      <c r="AC32" s="125" t="str">
        <f>IF(K32&gt;=0,"Earnings from discontinued operations, net of tax","Losses from discontinued operations, net of tax")</f>
        <v>Earnings from discontinued operations, net of tax</v>
      </c>
      <c r="AE32" s="125" t="str">
        <f>IF(M32&gt;=0,"Earnings from discontinued operations, net of tax","Losses from discontinued operations, net of tax")</f>
        <v>Earnings from discontinued operations, net of tax</v>
      </c>
      <c r="AG32" s="125" t="str">
        <f>IF(O32&gt;=0,"Earnings from discontinued operations, net of tax","Losses from discontinued operations, net of tax")</f>
        <v>Earnings from discontinued operations, net of tax</v>
      </c>
      <c r="AO32" s="126">
        <f>+AP32/ABS(G32)</f>
        <v>1.8227424749163879</v>
      </c>
      <c r="AP32" s="72">
        <f>+E32-G32</f>
        <v>1090000</v>
      </c>
      <c r="AR32" s="126">
        <f>+AS32/ABS(M32)</f>
        <v>0.71370558375634519</v>
      </c>
      <c r="AS32" s="72">
        <f>+K32-M32</f>
        <v>703000</v>
      </c>
      <c r="AV32" s="127">
        <f t="shared" si="0"/>
        <v>26</v>
      </c>
      <c r="AX32" s="172"/>
      <c r="AZ32" s="75">
        <v>0</v>
      </c>
      <c r="BA32" s="75">
        <v>0</v>
      </c>
      <c r="BB32" s="75">
        <v>1688000</v>
      </c>
      <c r="BC32" s="75">
        <v>0</v>
      </c>
      <c r="BD32" s="75">
        <f>SUM(AZ32:BC32)</f>
        <v>1688000</v>
      </c>
      <c r="BF32" s="75">
        <v>0</v>
      </c>
      <c r="BG32" s="75">
        <v>387000</v>
      </c>
      <c r="BH32" s="75">
        <v>598000</v>
      </c>
      <c r="BI32" s="75">
        <v>805000</v>
      </c>
      <c r="BJ32" s="75">
        <f>SUM(BF32:BI32)</f>
        <v>1790000</v>
      </c>
      <c r="BL32" s="75">
        <v>0</v>
      </c>
      <c r="BM32" s="75">
        <v>0</v>
      </c>
      <c r="BN32" s="75">
        <v>836000</v>
      </c>
      <c r="BO32" s="75">
        <v>4568000</v>
      </c>
      <c r="BP32" s="75">
        <f>SUM(BL32:BO32)</f>
        <v>5404000</v>
      </c>
      <c r="BR32" s="75">
        <v>0</v>
      </c>
      <c r="BS32" s="75">
        <v>0</v>
      </c>
      <c r="BT32" s="75">
        <v>0</v>
      </c>
      <c r="BU32" s="75">
        <v>0</v>
      </c>
      <c r="BV32" s="75">
        <f>SUM(BR32:BU32)</f>
        <v>0</v>
      </c>
      <c r="BX32" s="75">
        <v>0</v>
      </c>
      <c r="BY32" s="75">
        <v>0</v>
      </c>
      <c r="BZ32" s="75">
        <v>0</v>
      </c>
      <c r="CA32" s="75">
        <v>0</v>
      </c>
      <c r="CB32" s="75">
        <f>SUM(BX32:CA32)</f>
        <v>0</v>
      </c>
      <c r="CD32" s="75">
        <v>0</v>
      </c>
      <c r="CE32" s="75">
        <v>0</v>
      </c>
      <c r="CF32" s="75">
        <v>0</v>
      </c>
      <c r="CG32" s="75">
        <v>750000</v>
      </c>
      <c r="CH32" s="75">
        <f>SUM(CD32:CG32)</f>
        <v>750000</v>
      </c>
      <c r="CJ32" s="75">
        <v>24803000</v>
      </c>
      <c r="CK32" s="75">
        <v>61803000</v>
      </c>
      <c r="CL32" s="75">
        <v>1071661000</v>
      </c>
      <c r="CM32" s="75">
        <v>4227000</v>
      </c>
      <c r="CN32" s="75">
        <f>SUM(CJ32:CM32)</f>
        <v>1162494000</v>
      </c>
      <c r="CP32" s="75">
        <v>24915000</v>
      </c>
      <c r="CQ32" s="75">
        <v>21855000</v>
      </c>
      <c r="CR32" s="75">
        <v>19824000</v>
      </c>
      <c r="CS32" s="75">
        <v>24185000</v>
      </c>
      <c r="CT32" s="75">
        <v>90779000</v>
      </c>
      <c r="CV32" s="75">
        <v>89684000</v>
      </c>
      <c r="CX32" s="167"/>
      <c r="CZ32" s="129">
        <f>+AZ32</f>
        <v>0</v>
      </c>
      <c r="DA32" s="129">
        <f>SUM($AZ32:BA32)</f>
        <v>0</v>
      </c>
      <c r="DB32" s="129">
        <f>SUM($AZ32:BB32)</f>
        <v>1688000</v>
      </c>
      <c r="DC32" s="129">
        <f>SUM($AZ32:BC32)</f>
        <v>1688000</v>
      </c>
      <c r="DD32" s="129">
        <f>+DC32</f>
        <v>1688000</v>
      </c>
      <c r="DF32" s="129">
        <f>+BF32</f>
        <v>0</v>
      </c>
      <c r="DG32" s="129">
        <f>SUM($BF32:BG32)</f>
        <v>387000</v>
      </c>
      <c r="DH32" s="129">
        <f>SUM($BF32:BH32)</f>
        <v>985000</v>
      </c>
      <c r="DI32" s="129">
        <f>SUM($BF32:BI32)</f>
        <v>1790000</v>
      </c>
      <c r="DJ32" s="129">
        <f>+DI32</f>
        <v>1790000</v>
      </c>
      <c r="DL32" s="129">
        <f>+BL32</f>
        <v>0</v>
      </c>
      <c r="DM32" s="129">
        <f>SUM($BL32:BM32)</f>
        <v>0</v>
      </c>
      <c r="DN32" s="129">
        <f>SUM($BL32:BN32)</f>
        <v>836000</v>
      </c>
      <c r="DO32" s="129">
        <f>SUM($BL32:BO32)</f>
        <v>5404000</v>
      </c>
      <c r="DP32" s="129">
        <f>+DO32</f>
        <v>5404000</v>
      </c>
      <c r="DR32" s="129">
        <f>+BR32</f>
        <v>0</v>
      </c>
      <c r="DS32" s="129">
        <f>SUM($BR32:BS32)</f>
        <v>0</v>
      </c>
      <c r="DT32" s="129">
        <f>SUM($BR32:BT32)</f>
        <v>0</v>
      </c>
      <c r="DU32" s="129">
        <f>SUM($BR32:BU32)</f>
        <v>0</v>
      </c>
      <c r="DV32" s="129">
        <f>+DU32</f>
        <v>0</v>
      </c>
      <c r="DX32" s="129">
        <f>+BX32</f>
        <v>0</v>
      </c>
      <c r="DY32" s="129">
        <f>SUM($BX32:BY32)</f>
        <v>0</v>
      </c>
      <c r="DZ32" s="129">
        <f>SUM($BX32:BZ32)</f>
        <v>0</v>
      </c>
      <c r="EA32" s="129">
        <f>SUM($BX32:CA32)</f>
        <v>0</v>
      </c>
      <c r="EB32" s="129">
        <f>+EA32</f>
        <v>0</v>
      </c>
      <c r="ED32" s="129">
        <f>+CD32</f>
        <v>0</v>
      </c>
      <c r="EE32" s="129">
        <f>SUM($CD32:CE32)</f>
        <v>0</v>
      </c>
      <c r="EF32" s="129">
        <f>SUM($CD32:CF32)</f>
        <v>0</v>
      </c>
      <c r="EG32" s="129">
        <f>SUM($CD32:CG32)</f>
        <v>750000</v>
      </c>
      <c r="EH32" s="129">
        <f>+EG32</f>
        <v>750000</v>
      </c>
      <c r="EJ32" s="129">
        <f>+CJ32</f>
        <v>24803000</v>
      </c>
      <c r="EK32" s="129">
        <f>SUM($CJ32:CK32)</f>
        <v>86606000</v>
      </c>
      <c r="EL32" s="129">
        <f>SUM($CJ32:CL32)</f>
        <v>1158267000</v>
      </c>
      <c r="EM32" s="129">
        <f>SUM($CJ32:CM32)</f>
        <v>1162494000</v>
      </c>
      <c r="EN32" s="129">
        <f>+EM32</f>
        <v>1162494000</v>
      </c>
      <c r="EP32" s="129">
        <f>+CP32</f>
        <v>24915000</v>
      </c>
      <c r="EQ32" s="129">
        <f>SUM($CP32:CQ32)</f>
        <v>46770000</v>
      </c>
      <c r="ER32" s="129">
        <f>SUM($CP32:CR32)</f>
        <v>66594000</v>
      </c>
      <c r="ES32" s="129">
        <f>SUM($CP32:CS32)</f>
        <v>90779000</v>
      </c>
      <c r="ET32" s="129">
        <f>+ES32</f>
        <v>90779000</v>
      </c>
    </row>
    <row r="33" spans="1:150" ht="15.75" customHeight="1" x14ac:dyDescent="0.25">
      <c r="E33" s="102"/>
      <c r="F33" s="102"/>
      <c r="G33" s="102"/>
      <c r="H33" s="102"/>
      <c r="I33" s="102"/>
      <c r="K33" s="102"/>
      <c r="L33" s="102"/>
      <c r="M33" s="102"/>
      <c r="N33" s="102"/>
      <c r="O33" s="102"/>
      <c r="AV33" s="127">
        <f t="shared" si="0"/>
        <v>27</v>
      </c>
      <c r="AX33" s="172"/>
      <c r="AZ33" s="102"/>
      <c r="BA33" s="102"/>
      <c r="BB33" s="102"/>
      <c r="BC33" s="102"/>
      <c r="BD33" s="102"/>
      <c r="BF33" s="102"/>
      <c r="BG33" s="102"/>
      <c r="BH33" s="102"/>
      <c r="BI33" s="102"/>
      <c r="BJ33" s="102"/>
      <c r="BL33" s="102"/>
      <c r="BM33" s="102"/>
      <c r="BN33" s="102"/>
      <c r="BO33" s="102"/>
      <c r="BP33" s="102"/>
      <c r="BR33" s="102"/>
      <c r="BS33" s="102"/>
      <c r="BT33" s="102"/>
      <c r="BU33" s="102"/>
      <c r="BV33" s="102"/>
      <c r="BX33" s="102"/>
      <c r="BY33" s="102"/>
      <c r="BZ33" s="102"/>
      <c r="CA33" s="102"/>
      <c r="CB33" s="102"/>
      <c r="CD33" s="102"/>
      <c r="CE33" s="102"/>
      <c r="CF33" s="102"/>
      <c r="CG33" s="102"/>
      <c r="CH33" s="102"/>
      <c r="CJ33" s="102"/>
      <c r="CK33" s="102"/>
      <c r="CL33" s="102"/>
      <c r="CM33" s="102"/>
      <c r="CN33" s="102"/>
      <c r="CP33" s="102"/>
      <c r="CQ33" s="102"/>
      <c r="CR33" s="102"/>
      <c r="CS33" s="102"/>
      <c r="CT33" s="102"/>
      <c r="CV33" s="102"/>
      <c r="CX33" s="167"/>
      <c r="CZ33" s="102"/>
      <c r="DA33" s="102"/>
      <c r="DB33" s="102"/>
      <c r="DC33" s="102"/>
      <c r="DD33" s="102"/>
      <c r="DF33" s="102"/>
      <c r="DG33" s="102"/>
      <c r="DH33" s="102"/>
      <c r="DI33" s="102"/>
      <c r="DJ33" s="102"/>
      <c r="DL33" s="102"/>
      <c r="DM33" s="102"/>
      <c r="DN33" s="102"/>
      <c r="DO33" s="102"/>
      <c r="DP33" s="102"/>
      <c r="DR33" s="102"/>
      <c r="DS33" s="102"/>
      <c r="DT33" s="102"/>
      <c r="DU33" s="102"/>
      <c r="DV33" s="102"/>
      <c r="DX33" s="102"/>
      <c r="DY33" s="102"/>
      <c r="DZ33" s="102"/>
      <c r="EA33" s="102"/>
      <c r="EB33" s="102"/>
      <c r="ED33" s="102"/>
      <c r="EE33" s="102"/>
      <c r="EF33" s="102"/>
      <c r="EG33" s="102"/>
      <c r="EH33" s="102"/>
      <c r="EJ33" s="102"/>
      <c r="EK33" s="102"/>
      <c r="EL33" s="102"/>
      <c r="EM33" s="102"/>
      <c r="EN33" s="102"/>
      <c r="EP33" s="102"/>
      <c r="EQ33" s="102"/>
      <c r="ER33" s="102"/>
      <c r="ES33" s="102"/>
      <c r="ET33" s="102"/>
    </row>
    <row r="34" spans="1:150" ht="15.75" customHeight="1" x14ac:dyDescent="0.25">
      <c r="A34" s="140" t="str">
        <f>IF(Q34=S34,Q34,"Net earnings (loss)")</f>
        <v>Net earnings</v>
      </c>
      <c r="B34" s="140" t="str">
        <f>IF(AC34=AE34,AC34,"Net earnings (loss)")</f>
        <v>Net earnings</v>
      </c>
      <c r="C34" s="140" t="str">
        <f>IF(A34=B34,A34,"Net earnings (loss)")</f>
        <v>Net earnings</v>
      </c>
      <c r="E34" s="142">
        <f>E30+E32</f>
        <v>11210000</v>
      </c>
      <c r="G34" s="142">
        <f>G30+G32</f>
        <v>13977000</v>
      </c>
      <c r="I34" s="124">
        <f>I30+I32</f>
        <v>-29684000</v>
      </c>
      <c r="K34" s="142">
        <f>K30+K32</f>
        <v>5453000</v>
      </c>
      <c r="M34" s="142">
        <f>M30+M32</f>
        <v>17254000</v>
      </c>
      <c r="O34" s="142">
        <f>O30+O32</f>
        <v>-87338000</v>
      </c>
      <c r="Q34" s="125" t="str">
        <f>IF(E34&gt;0,"Net earnings","Net loss")</f>
        <v>Net earnings</v>
      </c>
      <c r="S34" s="125" t="str">
        <f>IF(G34&gt;0,"Net earnings","Net loss")</f>
        <v>Net earnings</v>
      </c>
      <c r="U34" s="125" t="str">
        <f>IF(I34&gt;0,"Net earnings","Net loss")</f>
        <v>Net loss</v>
      </c>
      <c r="W34" s="125" t="str">
        <f>IF(E34&gt;0,"earnings were","loss was")</f>
        <v>earnings were</v>
      </c>
      <c r="Y34" s="125" t="str">
        <f>IF(G34&gt;0,"earnings of","loss Of")</f>
        <v>earnings of</v>
      </c>
      <c r="AC34" s="125" t="str">
        <f>IF(K34&gt;0,"Net earnings","Net loss")</f>
        <v>Net earnings</v>
      </c>
      <c r="AE34" s="125" t="str">
        <f>IF(M34&gt;0,"Net earnings","Net loss")</f>
        <v>Net earnings</v>
      </c>
      <c r="AG34" s="125" t="str">
        <f>IF(O34&gt;0,"Net earnings","Net loss")</f>
        <v>Net loss</v>
      </c>
      <c r="AO34" s="126">
        <f>+AP34/ABS(G34)</f>
        <v>-0.1979680904342849</v>
      </c>
      <c r="AP34" s="72">
        <f>+E34-G34</f>
        <v>-2767000</v>
      </c>
      <c r="AR34" s="126">
        <f>+AS34/ABS(M34)</f>
        <v>-0.68395734322475943</v>
      </c>
      <c r="AS34" s="72">
        <f>+K34-M34</f>
        <v>-11801000</v>
      </c>
      <c r="AV34" s="127">
        <f t="shared" si="0"/>
        <v>28</v>
      </c>
      <c r="AX34" s="172"/>
      <c r="AZ34" s="142">
        <f>AZ30+AZ32</f>
        <v>-7489000</v>
      </c>
      <c r="BA34" s="142">
        <f>BA30+BA32</f>
        <v>1732000</v>
      </c>
      <c r="BB34" s="142">
        <f>BB30+BB32</f>
        <v>11210000</v>
      </c>
      <c r="BC34" s="142">
        <f>BC30+BC32</f>
        <v>0</v>
      </c>
      <c r="BD34" s="142">
        <f>BD30+BD32</f>
        <v>5453000</v>
      </c>
      <c r="BF34" s="142">
        <f>BF30+BF32</f>
        <v>-1586000</v>
      </c>
      <c r="BG34" s="142">
        <f>BG30+BG32</f>
        <v>4863000</v>
      </c>
      <c r="BH34" s="142">
        <f>BH30+BH32</f>
        <v>13977000</v>
      </c>
      <c r="BI34" s="142">
        <f>BI30+BI32</f>
        <v>-5373000</v>
      </c>
      <c r="BJ34" s="142">
        <f>BJ30+BJ32</f>
        <v>11881000</v>
      </c>
      <c r="BL34" s="142">
        <f>BL30+BL32</f>
        <v>-27218000</v>
      </c>
      <c r="BM34" s="142">
        <f>BM30+BM32</f>
        <v>-30436000</v>
      </c>
      <c r="BN34" s="142">
        <f>BN30+BN32</f>
        <v>-29684000</v>
      </c>
      <c r="BO34" s="142">
        <f>BO30+BO32</f>
        <v>-31364000</v>
      </c>
      <c r="BP34" s="142">
        <f>BP30+BP32</f>
        <v>-118702000</v>
      </c>
      <c r="BR34" s="142">
        <f>BR30+BR32</f>
        <v>17365000</v>
      </c>
      <c r="BS34" s="142">
        <f>BS30+BS32</f>
        <v>-6431000</v>
      </c>
      <c r="BT34" s="142">
        <f>BT30+BT32</f>
        <v>-15375000</v>
      </c>
      <c r="BU34" s="142">
        <f>BU30+BU32</f>
        <v>-29392000</v>
      </c>
      <c r="BV34" s="142">
        <f>BV30+BV32</f>
        <v>-33833000</v>
      </c>
      <c r="BX34" s="142">
        <f>BX30+BX32</f>
        <v>-21728000</v>
      </c>
      <c r="BY34" s="142">
        <f>BY30+BY32</f>
        <v>-23968000</v>
      </c>
      <c r="BZ34" s="142">
        <f>BZ30+BZ32</f>
        <v>-11725000</v>
      </c>
      <c r="CA34" s="142">
        <f>CA30+CA32</f>
        <v>-32847000</v>
      </c>
      <c r="CB34" s="142">
        <f>CB30+CB32</f>
        <v>-90268000</v>
      </c>
      <c r="CD34" s="142">
        <f>CD30+CD32</f>
        <v>-42140000</v>
      </c>
      <c r="CE34" s="142">
        <f>CE30+CE32</f>
        <v>-40202000</v>
      </c>
      <c r="CF34" s="142">
        <f>CF30+CF32</f>
        <v>-38040000</v>
      </c>
      <c r="CG34" s="142">
        <f>CG30+CG32</f>
        <v>-4129000</v>
      </c>
      <c r="CH34" s="142">
        <f>CH30+CH32</f>
        <v>-124511000</v>
      </c>
      <c r="CJ34" s="142">
        <f>CJ30+CJ32</f>
        <v>-3015000</v>
      </c>
      <c r="CK34" s="142">
        <f>CK30+CK32</f>
        <v>20623000</v>
      </c>
      <c r="CL34" s="142">
        <f>CL30+CL32</f>
        <v>1056400000</v>
      </c>
      <c r="CM34" s="142">
        <f>CM30+CM32</f>
        <v>-45461000</v>
      </c>
      <c r="CN34" s="71">
        <f>SUM(CJ34:CM34)</f>
        <v>1028547000</v>
      </c>
      <c r="CP34" s="124">
        <f>CP30+CP32</f>
        <v>-1300000</v>
      </c>
      <c r="CQ34" s="124">
        <f>CQ30+CQ32</f>
        <v>-3336000</v>
      </c>
      <c r="CR34" s="124">
        <f>CR30+CR32</f>
        <v>22941000</v>
      </c>
      <c r="CS34" s="124">
        <f>CS30+CS32</f>
        <v>5175000</v>
      </c>
      <c r="CT34" s="124">
        <f>CT30+CT32</f>
        <v>23480000</v>
      </c>
      <c r="CV34" s="124">
        <f>CV30+CV32</f>
        <v>4108000</v>
      </c>
      <c r="CX34" s="167"/>
      <c r="CZ34" s="142">
        <f>CZ30+CZ32</f>
        <v>-7489000</v>
      </c>
      <c r="DA34" s="142">
        <f>DA30+DA32</f>
        <v>-5757000</v>
      </c>
      <c r="DB34" s="142">
        <f>DB30+DB32</f>
        <v>5453000</v>
      </c>
      <c r="DC34" s="142">
        <f>DC30+DC32</f>
        <v>5453000</v>
      </c>
      <c r="DD34" s="142">
        <f>DD30+DD32</f>
        <v>5453000</v>
      </c>
      <c r="DF34" s="142">
        <f>DF30+DF32</f>
        <v>-1586000</v>
      </c>
      <c r="DG34" s="142">
        <f>DG30+DG32</f>
        <v>3277000</v>
      </c>
      <c r="DH34" s="142">
        <f>DH30+DH32</f>
        <v>17254000</v>
      </c>
      <c r="DI34" s="142">
        <f>DI30+DI32</f>
        <v>11881000</v>
      </c>
      <c r="DJ34" s="142">
        <f>DJ30+DJ32</f>
        <v>11881000</v>
      </c>
      <c r="DL34" s="142">
        <f>DL30+DL32</f>
        <v>-27218000</v>
      </c>
      <c r="DM34" s="142">
        <f>DM30+DM32</f>
        <v>-57654000</v>
      </c>
      <c r="DN34" s="142">
        <f>DN30+DN32</f>
        <v>-87338000</v>
      </c>
      <c r="DO34" s="142">
        <f>DO30+DO32</f>
        <v>-118702000</v>
      </c>
      <c r="DP34" s="142">
        <f>DP30+DP32</f>
        <v>-118702000</v>
      </c>
      <c r="DR34" s="142">
        <f>DR30+DR32</f>
        <v>17365000</v>
      </c>
      <c r="DS34" s="142">
        <f>DS30+DS32</f>
        <v>10934000</v>
      </c>
      <c r="DT34" s="142">
        <f>DT30+DT32</f>
        <v>-4441000</v>
      </c>
      <c r="DU34" s="142">
        <f>DU30+DU32</f>
        <v>-33833000</v>
      </c>
      <c r="DV34" s="142">
        <f>DV30+DV32</f>
        <v>-33833000</v>
      </c>
      <c r="DX34" s="142">
        <f>DX30+DX32</f>
        <v>-21728000</v>
      </c>
      <c r="DY34" s="142">
        <f>DY30+DY32</f>
        <v>-45696000</v>
      </c>
      <c r="DZ34" s="142">
        <f>DZ30+DZ32</f>
        <v>-57421000</v>
      </c>
      <c r="EA34" s="142">
        <f>EA30+EA32</f>
        <v>-90268000</v>
      </c>
      <c r="EB34" s="142">
        <f>EB30+EB32</f>
        <v>-90268000</v>
      </c>
      <c r="ED34" s="142">
        <f>ED30+ED32</f>
        <v>-42140000</v>
      </c>
      <c r="EE34" s="142">
        <f>EE30+EE32</f>
        <v>-82342000</v>
      </c>
      <c r="EF34" s="142">
        <f>EF30+EF32</f>
        <v>-120382000</v>
      </c>
      <c r="EG34" s="142">
        <f>EG30+EG32</f>
        <v>-124511000</v>
      </c>
      <c r="EH34" s="142">
        <f>EH30+EH32</f>
        <v>-124511000</v>
      </c>
      <c r="EJ34" s="142">
        <f>EJ30+EJ32</f>
        <v>-3015000</v>
      </c>
      <c r="EK34" s="142">
        <f>EK30+EK32</f>
        <v>17608000</v>
      </c>
      <c r="EL34" s="142">
        <f>EL30+EL32</f>
        <v>1074008000</v>
      </c>
      <c r="EM34" s="142">
        <f>EM30+EM32</f>
        <v>1028547000</v>
      </c>
      <c r="EN34" s="142">
        <f>EN30+EN32</f>
        <v>1028547000</v>
      </c>
      <c r="EP34" s="142">
        <f>EP30+EP32</f>
        <v>-1300000</v>
      </c>
      <c r="EQ34" s="142">
        <f>EQ30+EQ32</f>
        <v>-4636000</v>
      </c>
      <c r="ER34" s="142">
        <f>ER30+ER32</f>
        <v>18305000</v>
      </c>
      <c r="ES34" s="142">
        <f>ES30+ES32</f>
        <v>23480000</v>
      </c>
      <c r="ET34" s="142">
        <f>ET30+ET32</f>
        <v>23480000</v>
      </c>
    </row>
    <row r="35" spans="1:150" ht="15.75" customHeight="1" x14ac:dyDescent="0.25">
      <c r="AV35" s="127">
        <f t="shared" si="0"/>
        <v>29</v>
      </c>
      <c r="AX35" s="172"/>
      <c r="CX35" s="167"/>
    </row>
    <row r="36" spans="1:150" ht="23.25" customHeight="1" x14ac:dyDescent="0.25">
      <c r="A36" s="140" t="str">
        <f>+A39&amp;":"</f>
        <v>Basic earnings per share:</v>
      </c>
      <c r="B36" s="140" t="str">
        <f>+B39&amp;":"</f>
        <v>Basic earnings per share:</v>
      </c>
      <c r="C36" s="140" t="str">
        <f>+C39&amp;":"</f>
        <v>Basic earnings per share:</v>
      </c>
      <c r="AV36" s="127">
        <f t="shared" si="0"/>
        <v>30</v>
      </c>
      <c r="AX36" s="172"/>
      <c r="CX36" s="167"/>
    </row>
    <row r="37" spans="1:150" ht="15.75" customHeight="1" x14ac:dyDescent="0.25">
      <c r="A37" s="130" t="s">
        <v>195</v>
      </c>
      <c r="B37" s="130" t="str">
        <f>+A37</f>
        <v>Continuing operations</v>
      </c>
      <c r="C37" s="130" t="str">
        <f>+A37</f>
        <v>Continuing operations</v>
      </c>
      <c r="E37" s="143">
        <f>HLOOKUP(E$7,$AX$7:$CX$59,$AV37,FALSE)</f>
        <v>0.14508387804543585</v>
      </c>
      <c r="G37" s="143">
        <f>HLOOKUP(G$7,$AX$7:$CX$59,$AV37,FALSE)</f>
        <v>0.20283197647094495</v>
      </c>
      <c r="I37" s="143">
        <f>HLOOKUP(I$7,$AX$7:$CX$59,$AV37,FALSE)</f>
        <v>-0.47110397629044209</v>
      </c>
      <c r="K37" s="143">
        <f>HLOOKUP(K$7,$CX$7:$ET$59,$AV37,FALSE)</f>
        <v>5.6888579976428634E-2</v>
      </c>
      <c r="M37" s="143">
        <f>HLOOKUP(M$7,$CX$7:$ET$59,$AV37,FALSE)</f>
        <v>0.24557969752533282</v>
      </c>
      <c r="O37" s="143">
        <f>HLOOKUP(O$7,$CX$7:$ET$59,$AV37,FALSE)</f>
        <v>-1.3207411512709517</v>
      </c>
      <c r="Q37" s="125" t="str">
        <f>IF(E37&gt;0,"earnings per share","loss per share")</f>
        <v>earnings per share</v>
      </c>
      <c r="S37" s="125" t="str">
        <f>IF(G37&gt;0,"earnings per share","loss per share")</f>
        <v>earnings per share</v>
      </c>
      <c r="U37" s="125" t="str">
        <f>IF(I37&gt;0,"earnings per share","loss per share")</f>
        <v>loss per share</v>
      </c>
      <c r="AC37" s="125" t="str">
        <f>IF(K37&gt;0,"earnings per share","loss per share")</f>
        <v>earnings per share</v>
      </c>
      <c r="AE37" s="125" t="str">
        <f>IF(M37&gt;0,"earnings per share","loss per share")</f>
        <v>earnings per share</v>
      </c>
      <c r="AG37" s="125" t="str">
        <f>IF(O37&gt;0,"earnings per share","loss per share")</f>
        <v>loss per share</v>
      </c>
      <c r="AO37" s="126">
        <f>+AP37/ABS(G37)</f>
        <v>-0.28470904553740978</v>
      </c>
      <c r="AP37" s="144">
        <f>+E37-G37</f>
        <v>-5.7748098425509098E-2</v>
      </c>
      <c r="AR37" s="126">
        <f>+AS37/ABS(M37)</f>
        <v>-0.76834982472213409</v>
      </c>
      <c r="AS37" s="144">
        <f>+K37-M37</f>
        <v>-0.18869111754890419</v>
      </c>
      <c r="AV37" s="127">
        <f t="shared" si="0"/>
        <v>31</v>
      </c>
      <c r="AX37" s="172"/>
      <c r="AZ37" s="145">
        <f>+AZ30/AZ47</f>
        <v>-0.11241200222152174</v>
      </c>
      <c r="BA37" s="145">
        <f>IFERROR(+BA30/BA47,0)</f>
        <v>2.6126044589253928E-2</v>
      </c>
      <c r="BB37" s="145">
        <f>IFERROR(+BB30/BB47,0)</f>
        <v>0.14508387804543585</v>
      </c>
      <c r="BC37" s="145">
        <f>IFERROR(+BC30/BC47,0)</f>
        <v>0</v>
      </c>
      <c r="BD37" s="145">
        <f>IFERROR(+BD30/BD47,0)</f>
        <v>5.6888579976428634E-2</v>
      </c>
      <c r="BF37" s="145">
        <f>+BF30/BF47</f>
        <v>-2.3850700031580373E-2</v>
      </c>
      <c r="BG37" s="145">
        <f>+BG30/BG47</f>
        <v>6.7527608472632908E-2</v>
      </c>
      <c r="BH37" s="145">
        <f>+BH30/BH47</f>
        <v>0.20283197647094495</v>
      </c>
      <c r="BI37" s="145">
        <f>+BI30/BI47</f>
        <v>-9.3150189225457231E-2</v>
      </c>
      <c r="BJ37" s="145">
        <f>+BJ30/BJ47</f>
        <v>0.15228020402619744</v>
      </c>
      <c r="BL37" s="145">
        <f>+BL30/BL47</f>
        <v>-0.39790652456763592</v>
      </c>
      <c r="BM37" s="145">
        <f>+BM30/BM47</f>
        <v>-0.45361869560033385</v>
      </c>
      <c r="BN37" s="145">
        <f>+BN30/BN47</f>
        <v>-0.47110397629044209</v>
      </c>
      <c r="BO37" s="145">
        <f>+BO30/BO47</f>
        <v>-0.55173049166231614</v>
      </c>
      <c r="BP37" s="145">
        <f>+BP30/BP47</f>
        <v>-1.8704183747287195</v>
      </c>
      <c r="BR37" s="145">
        <f>+BR30/BR47</f>
        <v>0.25414178667603327</v>
      </c>
      <c r="BS37" s="145">
        <f>+BS30/BS47</f>
        <v>-9.451515240586697E-2</v>
      </c>
      <c r="BT37" s="145">
        <f>+BT30/BT47</f>
        <v>-0.22547294324681039</v>
      </c>
      <c r="BU37" s="145">
        <f>+BU30/BU47</f>
        <v>-0.43044388793696819</v>
      </c>
      <c r="BV37" s="145">
        <f>+BV30/BV47</f>
        <v>-0.4960050431748545</v>
      </c>
      <c r="BX37" s="145">
        <f>+BX30/BX47</f>
        <v>-0.33137105383559556</v>
      </c>
      <c r="BY37" s="145">
        <f>+BY30/BY47</f>
        <v>-0.36309650053022269</v>
      </c>
      <c r="BZ37" s="145">
        <f>+BZ30/BZ47</f>
        <v>-0.17625482915683297</v>
      </c>
      <c r="CA37" s="145">
        <f>+CA30/CA47</f>
        <v>-0.48944286331599884</v>
      </c>
      <c r="CB37" s="145">
        <f>+CB30/CB47</f>
        <v>-1.3614364249247777</v>
      </c>
      <c r="CD37" s="145">
        <f>+CD30/CD47</f>
        <v>-0.61155777435927205</v>
      </c>
      <c r="CE37" s="145">
        <f>+CE30/CE47</f>
        <v>-0.59396607765498488</v>
      </c>
      <c r="CF37" s="145">
        <f>+CF30/CF47</f>
        <v>-0.56378106798274863</v>
      </c>
      <c r="CG37" s="145">
        <f>+CG30/CG47</f>
        <v>-7.2845902324678621E-2</v>
      </c>
      <c r="CH37" s="145">
        <f>+CH30/CH47</f>
        <v>-1.8485979929161747</v>
      </c>
      <c r="CJ37" s="145">
        <f>+CJ30/CJ47</f>
        <v>-0.3615779554169104</v>
      </c>
      <c r="CK37" s="145">
        <f>+CK30/CK47</f>
        <v>-0.53171160004131801</v>
      </c>
      <c r="CL37" s="145">
        <f>+CL30/CL47</f>
        <v>-0.19717563761337503</v>
      </c>
      <c r="CM37" s="145">
        <f>+CM30/CM47</f>
        <v>-0.72750699131758889</v>
      </c>
      <c r="CN37" s="145">
        <f>+CN30/CN47</f>
        <v>-1.7854838709677419</v>
      </c>
      <c r="CP37" s="145">
        <f>+CP30/CP47</f>
        <v>-0.33321893430953836</v>
      </c>
      <c r="CQ37" s="145">
        <f>+CQ30/CQ47</f>
        <v>-0.3179276834732126</v>
      </c>
      <c r="CR37" s="145">
        <f>+CR30/CR47</f>
        <v>3.9434232000303632E-2</v>
      </c>
      <c r="CS37" s="145">
        <f>+CS30/CS47</f>
        <v>-0.24181443508789782</v>
      </c>
      <c r="CT37" s="145">
        <f>+CT30/CT47</f>
        <v>-0.85306308704414957</v>
      </c>
      <c r="CV37" s="125" t="e">
        <f>+CV30/CV47</f>
        <v>#DIV/0!</v>
      </c>
      <c r="CX37" s="167"/>
      <c r="CZ37" s="145">
        <f>+CZ30/CZ47</f>
        <v>-0.11241200222152174</v>
      </c>
      <c r="DA37" s="145">
        <f>IFERROR(+DA30/DA47,0)</f>
        <v>-8.662679155851484E-2</v>
      </c>
      <c r="DB37" s="145">
        <f>IFERROR(+DB30/DB47,0)</f>
        <v>5.6888579976428634E-2</v>
      </c>
      <c r="DC37" s="145">
        <f>IFERROR(+DC30/DC47,0)</f>
        <v>0</v>
      </c>
      <c r="DD37" s="145">
        <f>IFERROR(+DD30/DD47,0)</f>
        <v>5.6888579976428634E-2</v>
      </c>
      <c r="DF37" s="145">
        <f>+DF30/DF47</f>
        <v>-2.3850700031580373E-2</v>
      </c>
      <c r="DG37" s="145">
        <f>+DG30/DG47</f>
        <v>4.3530324368697332E-2</v>
      </c>
      <c r="DH37" s="145">
        <f>+DH30/DH47</f>
        <v>0.24557969752533282</v>
      </c>
      <c r="DI37" s="145">
        <f>+DI30/DI47</f>
        <v>0.15227962952483354</v>
      </c>
      <c r="DJ37" s="145">
        <f>+DJ30/DJ47</f>
        <v>0.15227962952483354</v>
      </c>
      <c r="DL37" s="145">
        <f>+DL30/DL47</f>
        <v>-0.39790652456763592</v>
      </c>
      <c r="DM37" s="145">
        <f>+DM30/DM47</f>
        <v>-0.85098154981549812</v>
      </c>
      <c r="DN37" s="145">
        <f>+DN30/DN47</f>
        <v>-1.3207411512709517</v>
      </c>
      <c r="DO37" s="145">
        <f>+DO30/DO47</f>
        <v>-1.8704113274229586</v>
      </c>
      <c r="DP37" s="145">
        <f>+DP30/DP47</f>
        <v>-1.8704113274229586</v>
      </c>
      <c r="DR37" s="145">
        <f>+DR30/DR47</f>
        <v>0.25414178667603327</v>
      </c>
      <c r="DS37" s="145">
        <f>+DS30/DS47</f>
        <v>0.16035784996700153</v>
      </c>
      <c r="DT37" s="145">
        <f>+DT30/DT47</f>
        <v>-6.5130034879106208E-2</v>
      </c>
      <c r="DU37" s="145">
        <f>+DU30/DU47</f>
        <v>-0.49600686108861142</v>
      </c>
      <c r="DV37" s="145">
        <f>+DV30/DV47</f>
        <v>-0.49600686108861142</v>
      </c>
      <c r="DX37" s="145">
        <f>+DX30/DX47</f>
        <v>-0.33137105383559556</v>
      </c>
      <c r="DY37" s="145">
        <f>+DY30/DY47</f>
        <v>-0.6945736434108527</v>
      </c>
      <c r="DZ37" s="145">
        <f>+DZ30/DZ47</f>
        <v>-0.86956280757768845</v>
      </c>
      <c r="EA37" s="145">
        <f>+EA30/EA47</f>
        <v>-1.3614364249247777</v>
      </c>
      <c r="EB37" s="145">
        <f>+EB30/EB47</f>
        <v>-1.3614364249247777</v>
      </c>
      <c r="ED37" s="145">
        <f>+ED30/ED47</f>
        <v>-0.61155777435927205</v>
      </c>
      <c r="EE37" s="145">
        <f>+EE30/EE47</f>
        <v>-1.2056812358152134</v>
      </c>
      <c r="EF37" s="145">
        <f>+EF30/EF47</f>
        <v>-1.7697769806383323</v>
      </c>
      <c r="EG37" s="145">
        <f>+EG30/EG47</f>
        <v>-1.8485979929161747</v>
      </c>
      <c r="EH37" s="145">
        <f>+EH30/EH47</f>
        <v>-1.8485979929161747</v>
      </c>
      <c r="EJ37" s="145">
        <f>+EJ30/EJ47</f>
        <v>-0.3615779554169104</v>
      </c>
      <c r="EK37" s="145">
        <f>+EK30/EK47</f>
        <v>-0.8938548933496564</v>
      </c>
      <c r="EL37" s="145">
        <f>+EL30/EL47</f>
        <v>-1.0905855143026628</v>
      </c>
      <c r="EM37" s="145">
        <f>+EM30/EM47</f>
        <v>-1.7854838709677419</v>
      </c>
      <c r="EN37" s="145">
        <f>+EN30/EN47</f>
        <v>-1.7854838709677419</v>
      </c>
      <c r="ES37" s="145">
        <f>+ES30/ES47</f>
        <v>-0.85306308704414957</v>
      </c>
      <c r="ET37" s="145">
        <f>+ET30/ET47</f>
        <v>-0.85306308704414957</v>
      </c>
    </row>
    <row r="38" spans="1:150" ht="15.75" customHeight="1" x14ac:dyDescent="0.25">
      <c r="A38" s="130" t="s">
        <v>196</v>
      </c>
      <c r="B38" s="130" t="str">
        <f>+A38</f>
        <v>Discontinued operations</v>
      </c>
      <c r="C38" s="130" t="str">
        <f>+A38</f>
        <v>Discontinued operations</v>
      </c>
      <c r="E38" s="146">
        <f>HLOOKUP(E$7,$AX$7:$CX$59,$AV38,FALSE)</f>
        <v>2.571955325989243E-2</v>
      </c>
      <c r="G38" s="146">
        <f>HLOOKUP(G$7,$AX$7:$CX$59,$AV38,FALSE)</f>
        <v>9.0659632206910139E-3</v>
      </c>
      <c r="I38" s="146">
        <f>HLOOKUP(I$7,$AX$7:$CX$59,$AV38,FALSE)</f>
        <v>1.2904420844653E-2</v>
      </c>
      <c r="K38" s="146">
        <f>HLOOKUP(K$7,$CX$7:$ET$59,$AV38,FALSE)</f>
        <v>2.5505424435647156E-2</v>
      </c>
      <c r="M38" s="146">
        <f>HLOOKUP(M$7,$CX$7:$ET$59,$AV38,FALSE)</f>
        <v>1.4868523084544399E-2</v>
      </c>
      <c r="O38" s="146">
        <f>HLOOKUP(O$7,$CX$7:$ET$59,$AV38,FALSE)</f>
        <v>1.252228097242402E-2</v>
      </c>
      <c r="Q38" s="125" t="str">
        <f>IF(E38&gt;0,"earnings per share","loss per share")</f>
        <v>earnings per share</v>
      </c>
      <c r="S38" s="125" t="str">
        <f>IF(G38&gt;0,"earnings per share","loss per share")</f>
        <v>earnings per share</v>
      </c>
      <c r="U38" s="125" t="str">
        <f>IF(I38&gt;0,"earnings per share","loss per share")</f>
        <v>earnings per share</v>
      </c>
      <c r="AC38" s="125" t="str">
        <f>IF(K38&gt;0,"earnings per share","loss per share")</f>
        <v>earnings per share</v>
      </c>
      <c r="AE38" s="125" t="str">
        <f>IF(M38&gt;0,"earnings per share","loss per share")</f>
        <v>earnings per share</v>
      </c>
      <c r="AG38" s="125" t="str">
        <f>IF(O38&gt;0,"earnings per share","loss per share")</f>
        <v>earnings per share</v>
      </c>
      <c r="AO38" s="126">
        <f>+AP38/ABS(G38)</f>
        <v>1.8369355394243556</v>
      </c>
      <c r="AP38" s="144">
        <f>+E38-G38</f>
        <v>1.6653590039201416E-2</v>
      </c>
      <c r="AR38" s="126">
        <f>+AS38/ABS(M38)</f>
        <v>0.71539730547680636</v>
      </c>
      <c r="AS38" s="144">
        <f>+K38-M38</f>
        <v>1.0636901351102757E-2</v>
      </c>
      <c r="AV38" s="127">
        <f t="shared" si="0"/>
        <v>32</v>
      </c>
      <c r="AX38" s="172"/>
      <c r="AZ38" s="145">
        <f>+AZ32/AZ47</f>
        <v>0</v>
      </c>
      <c r="BA38" s="145">
        <f>IFERROR(+BA32/BA47,0)</f>
        <v>0</v>
      </c>
      <c r="BB38" s="145">
        <f>IFERROR(+BB32/BB47,0)</f>
        <v>2.571955325989243E-2</v>
      </c>
      <c r="BC38" s="145">
        <f>IFERROR(+BC32/BC47,0)</f>
        <v>0</v>
      </c>
      <c r="BD38" s="145">
        <f>IFERROR(+BD32/BD47,0)</f>
        <v>2.5505424435647156E-2</v>
      </c>
      <c r="BF38" s="145">
        <f>+BF32/BF47</f>
        <v>0</v>
      </c>
      <c r="BG38" s="145">
        <f>+BG32/BG47</f>
        <v>5.8385130649930604E-3</v>
      </c>
      <c r="BH38" s="145">
        <f>+BH32/BH47</f>
        <v>9.0659632206910139E-3</v>
      </c>
      <c r="BI38" s="145">
        <f>+BI32/BI47</f>
        <v>1.2137569169066538E-2</v>
      </c>
      <c r="BJ38" s="145">
        <f>+BJ32/BJ47</f>
        <v>2.7012344188573324E-2</v>
      </c>
      <c r="BL38" s="145">
        <f>+BL32/BL47</f>
        <v>0</v>
      </c>
      <c r="BM38" s="145">
        <f>+BM32/BM47</f>
        <v>0</v>
      </c>
      <c r="BN38" s="145">
        <f>+BN32/BN47</f>
        <v>1.2904420844653E-2</v>
      </c>
      <c r="BO38" s="145">
        <f>+BO32/BO47</f>
        <v>7.0140957528483247E-2</v>
      </c>
      <c r="BP38" s="145">
        <f>+BP32/BP47</f>
        <v>8.1444417651314202E-2</v>
      </c>
      <c r="BR38" s="145">
        <f>+BR32/BR47</f>
        <v>0</v>
      </c>
      <c r="BS38" s="145">
        <f>+BS32/BS47</f>
        <v>0</v>
      </c>
      <c r="BT38" s="145">
        <f>+BT32/BT47</f>
        <v>0</v>
      </c>
      <c r="BU38" s="145">
        <f>+BU32/BU47</f>
        <v>0</v>
      </c>
      <c r="BV38" s="145">
        <f>+BV32/BV47</f>
        <v>0</v>
      </c>
      <c r="BX38" s="145">
        <f>+BX32/BX47</f>
        <v>0</v>
      </c>
      <c r="BY38" s="145">
        <f>+BY32/BY47</f>
        <v>0</v>
      </c>
      <c r="BZ38" s="145">
        <f>+BZ32/BZ47</f>
        <v>0</v>
      </c>
      <c r="CA38" s="145">
        <f>+CA32/CA47</f>
        <v>0</v>
      </c>
      <c r="CB38" s="145">
        <f>+CB32/CB47</f>
        <v>0</v>
      </c>
      <c r="CD38" s="145">
        <f>+CD32/CD47</f>
        <v>0</v>
      </c>
      <c r="CE38" s="145">
        <f>+CE32/CE47</f>
        <v>0</v>
      </c>
      <c r="CF38" s="145">
        <f>+CF32/CF47</f>
        <v>0</v>
      </c>
      <c r="CG38" s="145">
        <f>+CG32/CG47</f>
        <v>1.119787389700942E-2</v>
      </c>
      <c r="CH38" s="145">
        <f>+CH32/CH47</f>
        <v>1.1068476977567887E-2</v>
      </c>
      <c r="CJ38" s="145">
        <f>+CJ32/CJ47</f>
        <v>0.32238902970039646</v>
      </c>
      <c r="CK38" s="145">
        <f>+CK32/CK47</f>
        <v>0.79799349240780915</v>
      </c>
      <c r="CL38" s="145">
        <f>+CL32/CL47</f>
        <v>13.84610713455128</v>
      </c>
      <c r="CM38" s="145">
        <f>+CM32/CM47</f>
        <v>6.1889632351864593E-2</v>
      </c>
      <c r="CN38" s="145">
        <f>+CN32/CN47</f>
        <v>15.495787789922687</v>
      </c>
      <c r="CP38" s="145">
        <f>+CP32/CP47</f>
        <v>0.31669463087248323</v>
      </c>
      <c r="CQ38" s="145">
        <f>+CQ32/CQ47</f>
        <v>0.27582507730169747</v>
      </c>
      <c r="CR38" s="145">
        <f>+CR32/CR47</f>
        <v>0.25080019736093012</v>
      </c>
      <c r="CS38" s="145">
        <f>+CS32/CS47</f>
        <v>0.30764240466074744</v>
      </c>
      <c r="CT38" s="145">
        <f>+CT32/CT47</f>
        <v>1.1506889252259447</v>
      </c>
      <c r="CV38" s="147" t="e">
        <f>+CV32/CV47</f>
        <v>#DIV/0!</v>
      </c>
      <c r="CX38" s="167"/>
      <c r="CZ38" s="145">
        <f>+CZ32/CZ47</f>
        <v>0</v>
      </c>
      <c r="DA38" s="145">
        <f>IFERROR(+DA32/DA47,0)</f>
        <v>0</v>
      </c>
      <c r="DB38" s="145">
        <f>IFERROR(+DB32/DB47,0)</f>
        <v>2.5505424435647156E-2</v>
      </c>
      <c r="DC38" s="145">
        <f>IFERROR(+DC32/DC47,0)</f>
        <v>0</v>
      </c>
      <c r="DD38" s="145">
        <f>IFERROR(+DD32/DD47,0)</f>
        <v>2.5505424435647156E-2</v>
      </c>
      <c r="DF38" s="145">
        <f>+DF32/DF47</f>
        <v>0</v>
      </c>
      <c r="DG38" s="145">
        <f>+DG32/DG47</f>
        <v>5.829147242451857E-3</v>
      </c>
      <c r="DH38" s="145">
        <f>+DH32/DH47</f>
        <v>1.4868523084544399E-2</v>
      </c>
      <c r="DI38" s="145">
        <f>+DI32/DI47</f>
        <v>2.7012242280195425E-2</v>
      </c>
      <c r="DJ38" s="145">
        <f>+DJ32/DJ47</f>
        <v>2.7012242280195425E-2</v>
      </c>
      <c r="DL38" s="145">
        <f>+DL32/DL47</f>
        <v>0</v>
      </c>
      <c r="DM38" s="145">
        <f>+DM32/DM47</f>
        <v>0</v>
      </c>
      <c r="DN38" s="145">
        <f>+DN32/DN47</f>
        <v>1.252228097242402E-2</v>
      </c>
      <c r="DO38" s="145">
        <f>+DO32/DO47</f>
        <v>8.144411078750155E-2</v>
      </c>
      <c r="DP38" s="145">
        <f>+DP32/DP47</f>
        <v>8.144411078750155E-2</v>
      </c>
      <c r="DR38" s="145">
        <f>+DR32/DR47</f>
        <v>0</v>
      </c>
      <c r="DS38" s="145">
        <f>+DS32/DS47</f>
        <v>0</v>
      </c>
      <c r="DT38" s="145">
        <f>+DT32/DT47</f>
        <v>0</v>
      </c>
      <c r="DU38" s="145">
        <f>+DU32/DU47</f>
        <v>0</v>
      </c>
      <c r="DV38" s="145">
        <f>+DV32/DV47</f>
        <v>0</v>
      </c>
      <c r="DX38" s="145">
        <f>+DX32/DX47</f>
        <v>0</v>
      </c>
      <c r="DY38" s="145">
        <f>+DY32/DY47</f>
        <v>0</v>
      </c>
      <c r="DZ38" s="145">
        <f>+DZ32/DZ47</f>
        <v>0</v>
      </c>
      <c r="EA38" s="145">
        <f>+EA32/EA47</f>
        <v>0</v>
      </c>
      <c r="EB38" s="145">
        <f>+EB32/EB47</f>
        <v>0</v>
      </c>
      <c r="ED38" s="145">
        <f>+ED32/ED47</f>
        <v>0</v>
      </c>
      <c r="EE38" s="145">
        <f>+EE32/EE47</f>
        <v>0</v>
      </c>
      <c r="EF38" s="145">
        <f>+EF32/EF47</f>
        <v>0</v>
      </c>
      <c r="EG38" s="145">
        <f>+EG32/EG47</f>
        <v>1.1068476977567887E-2</v>
      </c>
      <c r="EH38" s="145">
        <f>+EH32/EH47</f>
        <v>1.1068476977567887E-2</v>
      </c>
      <c r="EJ38" s="145">
        <f>+EJ32/EJ47</f>
        <v>0.32238902970039646</v>
      </c>
      <c r="EK38" s="145">
        <f>+EK32/EK47</f>
        <v>1.1219629104240751</v>
      </c>
      <c r="EL38" s="145">
        <f>+EL32/EL47</f>
        <v>14.991742269606837</v>
      </c>
      <c r="EM38" s="145">
        <f>+EM32/EM47</f>
        <v>15.495787789922687</v>
      </c>
      <c r="EN38" s="145">
        <f>+EN32/EN47</f>
        <v>15.495787789922687</v>
      </c>
      <c r="ES38" s="145">
        <f>+ES32/ES47</f>
        <v>1.1506889252259447</v>
      </c>
      <c r="ET38" s="145">
        <f>+ET32/ET47</f>
        <v>1.1506889252259447</v>
      </c>
    </row>
    <row r="39" spans="1:150" ht="23.25" customHeight="1" x14ac:dyDescent="0.25">
      <c r="A39" s="140" t="str">
        <f>IF(Q39=S39,"Basic "&amp;Q39,"Basic earnings (loss) per share")</f>
        <v>Basic earnings per share</v>
      </c>
      <c r="B39" s="140" t="str">
        <f>IF(AC39=AE39,"Basic "&amp;AC39,"Basic earnings (loss) per share")</f>
        <v>Basic earnings per share</v>
      </c>
      <c r="C39" s="140" t="str">
        <f>IF(A39=B39,A39,"Basic earnings (loss) per share")</f>
        <v>Basic earnings per share</v>
      </c>
      <c r="E39" s="148">
        <f>HLOOKUP(E$7,$AX$7:$CX$59,$AV39,FALSE)</f>
        <v>0.17080343130532827</v>
      </c>
      <c r="F39" s="176"/>
      <c r="G39" s="148">
        <f>HLOOKUP(G$7,$AX$7:$CX$59,$AV39,FALSE)</f>
        <v>0.21189793969163598</v>
      </c>
      <c r="H39" s="176"/>
      <c r="I39" s="148">
        <f>HLOOKUP(I$7,$AX$7:$CX$59,$AV39,FALSE)</f>
        <v>-0.45819955544578911</v>
      </c>
      <c r="K39" s="148">
        <f>HLOOKUP(K$7,$CX$7:$ET$59,$AV39,FALSE)</f>
        <v>8.2394004412075797E-2</v>
      </c>
      <c r="L39" s="176"/>
      <c r="M39" s="148">
        <f>HLOOKUP(M$7,$CX$7:$ET$59,$AV39,FALSE)</f>
        <v>0.26044822060987721</v>
      </c>
      <c r="N39" s="176"/>
      <c r="O39" s="148">
        <f>HLOOKUP(O$7,$CX$7:$ET$59,$AV39,FALSE)</f>
        <v>-1.3082188702985276</v>
      </c>
      <c r="Q39" s="125" t="str">
        <f>IF(E39&gt;0,"earnings per share","loss per share")</f>
        <v>earnings per share</v>
      </c>
      <c r="S39" s="125" t="str">
        <f>IF(G39&gt;0,"earnings per share","loss per share")</f>
        <v>earnings per share</v>
      </c>
      <c r="U39" s="125" t="str">
        <f>IF(I39&gt;0,"earnings per share","loss per share")</f>
        <v>loss per share</v>
      </c>
      <c r="AC39" s="125" t="str">
        <f>IF(K39&gt;0,"earnings per share","loss per share")</f>
        <v>earnings per share</v>
      </c>
      <c r="AE39" s="125" t="str">
        <f>IF(M39&gt;0,"earnings per share","loss per share")</f>
        <v>earnings per share</v>
      </c>
      <c r="AG39" s="125" t="str">
        <f>IF(O39&gt;0,"earnings per share","loss per share")</f>
        <v>loss per share</v>
      </c>
      <c r="AO39" s="126">
        <f>+AP39/ABS(G39)</f>
        <v>-0.19393538439359254</v>
      </c>
      <c r="AP39" s="144">
        <f>+E39-G39</f>
        <v>-4.109450838630771E-2</v>
      </c>
      <c r="AR39" s="126">
        <f>+AS39/ABS(M39)</f>
        <v>-0.68364535484581812</v>
      </c>
      <c r="AS39" s="144">
        <f>+K39-M39</f>
        <v>-0.17805421619780143</v>
      </c>
      <c r="AV39" s="127">
        <f t="shared" si="0"/>
        <v>33</v>
      </c>
      <c r="AX39" s="172"/>
      <c r="AZ39" s="145">
        <f>+AZ34/AZ47</f>
        <v>-0.11241200222152174</v>
      </c>
      <c r="BA39" s="145">
        <f>IFERROR(+BA34/BA47,0)</f>
        <v>2.6126044589253928E-2</v>
      </c>
      <c r="BB39" s="145">
        <f>IFERROR(+BB34/BB47,0)</f>
        <v>0.17080343130532827</v>
      </c>
      <c r="BC39" s="145">
        <f>IFERROR(+BC34/BC47,0)</f>
        <v>0</v>
      </c>
      <c r="BD39" s="145">
        <f>IFERROR(+BD34/BD47,0)</f>
        <v>8.2394004412075797E-2</v>
      </c>
      <c r="BF39" s="145">
        <f>+BF34/BF47</f>
        <v>-2.3850700031580373E-2</v>
      </c>
      <c r="BG39" s="145">
        <f>+BG34/BG47</f>
        <v>7.3366121537625978E-2</v>
      </c>
      <c r="BH39" s="145">
        <f>+BH34/BH47</f>
        <v>0.21189793969163598</v>
      </c>
      <c r="BI39" s="145">
        <f>+BI34/BI47</f>
        <v>-8.1012620056390691E-2</v>
      </c>
      <c r="BJ39" s="145">
        <f>+BJ34/BJ47</f>
        <v>0.17929254821477078</v>
      </c>
      <c r="BL39" s="145">
        <f>+BL34/BL47</f>
        <v>-0.39790652456763592</v>
      </c>
      <c r="BM39" s="145">
        <f>+BM34/BM47</f>
        <v>-0.45361869560033385</v>
      </c>
      <c r="BN39" s="145">
        <f>+BN34/BN47</f>
        <v>-0.45819955544578911</v>
      </c>
      <c r="BO39" s="145">
        <f>+BO34/BO47</f>
        <v>-0.48158953413383288</v>
      </c>
      <c r="BP39" s="145">
        <f>+BP34/BP47</f>
        <v>-1.7889739570774053</v>
      </c>
      <c r="BR39" s="145">
        <f>+BR34/BR47</f>
        <v>0.25414178667603327</v>
      </c>
      <c r="BS39" s="145">
        <f>+BS34/BS47</f>
        <v>-9.451515240586697E-2</v>
      </c>
      <c r="BT39" s="145">
        <f>+BT34/BT47</f>
        <v>-0.22547294324681039</v>
      </c>
      <c r="BU39" s="145">
        <f>+BU34/BU47</f>
        <v>-0.43044388793696819</v>
      </c>
      <c r="BV39" s="145">
        <f>+BV34/BV47</f>
        <v>-0.4960050431748545</v>
      </c>
      <c r="BX39" s="145">
        <f>+BX34/BX47</f>
        <v>-0.33137105383559556</v>
      </c>
      <c r="BY39" s="145">
        <f>+BY34/BY47</f>
        <v>-0.36309650053022269</v>
      </c>
      <c r="BZ39" s="145">
        <f>+BZ34/BZ47</f>
        <v>-0.17625482915683297</v>
      </c>
      <c r="CA39" s="145">
        <f>+CA34/CA47</f>
        <v>-0.48944286331599884</v>
      </c>
      <c r="CB39" s="145">
        <f>+CB34/CB47</f>
        <v>-1.3614364249247777</v>
      </c>
      <c r="CD39" s="145">
        <f>+CD34/CD47</f>
        <v>-0.61155777435927205</v>
      </c>
      <c r="CE39" s="145">
        <f>+CE34/CE47</f>
        <v>-0.59396607765498488</v>
      </c>
      <c r="CF39" s="145">
        <f>+CF34/CF47</f>
        <v>-0.56378106798274863</v>
      </c>
      <c r="CG39" s="145">
        <f>+CG34/CG47</f>
        <v>-6.1648028427669199E-2</v>
      </c>
      <c r="CH39" s="145">
        <f>+CH34/CH47</f>
        <v>-1.8375295159386069</v>
      </c>
      <c r="CJ39" s="145">
        <f>+CJ34/CJ47</f>
        <v>-3.9188925716513938E-2</v>
      </c>
      <c r="CK39" s="145">
        <f>+CK34/CK47</f>
        <v>0.26628189236649108</v>
      </c>
      <c r="CL39" s="145">
        <f>+CL34/CL47</f>
        <v>13.648931496937905</v>
      </c>
      <c r="CM39" s="145">
        <f>+CM34/CM47</f>
        <v>-0.66561735896572427</v>
      </c>
      <c r="CN39" s="145">
        <f>+CN34/CN47</f>
        <v>13.710303918954946</v>
      </c>
      <c r="CP39" s="145">
        <f>+CP34/CP47</f>
        <v>-1.6524303437055115E-2</v>
      </c>
      <c r="CQ39" s="145">
        <f>+CQ34/CQ47</f>
        <v>-4.2102606171515115E-2</v>
      </c>
      <c r="CR39" s="145">
        <f>+CR34/CR47</f>
        <v>0.29023442936123378</v>
      </c>
      <c r="CS39" s="145">
        <f>+CS34/CS47</f>
        <v>6.5827969572849615E-2</v>
      </c>
      <c r="CT39" s="145">
        <f>+CT34/CT47</f>
        <v>0.29762583818179511</v>
      </c>
      <c r="CV39" s="147" t="e">
        <f>+CV34/CV47</f>
        <v>#DIV/0!</v>
      </c>
      <c r="CX39" s="167"/>
      <c r="CZ39" s="145">
        <f>+CZ34/CZ47</f>
        <v>-0.11241200222152174</v>
      </c>
      <c r="DA39" s="145">
        <f>IFERROR(+DA34/DA47,0)</f>
        <v>-8.662679155851484E-2</v>
      </c>
      <c r="DB39" s="145">
        <f>IFERROR(+DB34/DB47,0)</f>
        <v>8.2394004412075797E-2</v>
      </c>
      <c r="DC39" s="145">
        <f>IFERROR(+DC34/DC47,0)</f>
        <v>0</v>
      </c>
      <c r="DD39" s="145">
        <f>IFERROR(+DD34/DD47,0)</f>
        <v>8.2394004412075797E-2</v>
      </c>
      <c r="DF39" s="145">
        <f>+DF34/DF47</f>
        <v>-2.3850700031580373E-2</v>
      </c>
      <c r="DG39" s="145">
        <f>+DG34/DG47</f>
        <v>4.9359471611149189E-2</v>
      </c>
      <c r="DH39" s="145">
        <f>+DH34/DH47</f>
        <v>0.26044822060987721</v>
      </c>
      <c r="DI39" s="145">
        <f>+DI34/DI47</f>
        <v>0.17929187180502895</v>
      </c>
      <c r="DJ39" s="145">
        <f>+DJ34/DJ47</f>
        <v>0.17929187180502895</v>
      </c>
      <c r="DL39" s="145">
        <f>+DL34/DL47</f>
        <v>-0.39790652456763592</v>
      </c>
      <c r="DM39" s="145">
        <f>+DM34/DM47</f>
        <v>-0.85098154981549812</v>
      </c>
      <c r="DN39" s="145">
        <f>+DN34/DN47</f>
        <v>-1.3082188702985276</v>
      </c>
      <c r="DO39" s="145">
        <f>+DO34/DO47</f>
        <v>-1.7889672166354569</v>
      </c>
      <c r="DP39" s="145">
        <f>+DP34/DP47</f>
        <v>-1.7889672166354569</v>
      </c>
      <c r="DR39" s="145">
        <f>+DR34/DR47</f>
        <v>0.25414178667603327</v>
      </c>
      <c r="DS39" s="145">
        <f>+DS34/DS47</f>
        <v>0.16035784996700153</v>
      </c>
      <c r="DT39" s="145">
        <f>+DT34/DT47</f>
        <v>-6.5130034879106208E-2</v>
      </c>
      <c r="DU39" s="145">
        <f>+DU34/DU47</f>
        <v>-0.49600686108861142</v>
      </c>
      <c r="DV39" s="145">
        <f>+DV34/DV47</f>
        <v>-0.49600686108861142</v>
      </c>
      <c r="DX39" s="145">
        <f>+DX34/DX47</f>
        <v>-0.33137105383559556</v>
      </c>
      <c r="DY39" s="145">
        <f>+DY34/DY47</f>
        <v>-0.6945736434108527</v>
      </c>
      <c r="DZ39" s="145">
        <f>+DZ34/DZ47</f>
        <v>-0.86956280757768845</v>
      </c>
      <c r="EA39" s="145">
        <f>+EA34/EA47</f>
        <v>-1.3614364249247777</v>
      </c>
      <c r="EB39" s="145">
        <f>+EB34/EB47</f>
        <v>-1.3614364249247777</v>
      </c>
      <c r="ED39" s="145">
        <f>+ED34/ED47</f>
        <v>-0.61155777435927205</v>
      </c>
      <c r="EE39" s="145">
        <f>+EE34/EE47</f>
        <v>-1.2056812358152134</v>
      </c>
      <c r="EF39" s="145">
        <f>+EF34/EF47</f>
        <v>-1.7697769806383323</v>
      </c>
      <c r="EG39" s="145">
        <f>+EG34/EG47</f>
        <v>-1.8375295159386069</v>
      </c>
      <c r="EH39" s="145">
        <f>+EH34/EH47</f>
        <v>-1.8375295159386069</v>
      </c>
      <c r="EJ39" s="145">
        <f>+EJ34/EJ47</f>
        <v>-3.9188925716513938E-2</v>
      </c>
      <c r="EK39" s="145">
        <f>+EK34/EK47</f>
        <v>0.22810801707441883</v>
      </c>
      <c r="EL39" s="145">
        <f>+EL34/EL47</f>
        <v>13.901156755304173</v>
      </c>
      <c r="EM39" s="145">
        <f>+EM34/EM47</f>
        <v>13.710303918954946</v>
      </c>
      <c r="EN39" s="145">
        <f>+EN34/EN47</f>
        <v>13.710303918954946</v>
      </c>
      <c r="ES39" s="145">
        <f>+ES34/ES47</f>
        <v>0.29762583818179511</v>
      </c>
      <c r="ET39" s="145">
        <f>+ET34/ET47</f>
        <v>0.29762583818179511</v>
      </c>
    </row>
    <row r="40" spans="1:150" ht="15.75" customHeight="1" x14ac:dyDescent="0.25">
      <c r="E40" s="177"/>
      <c r="F40" s="177"/>
      <c r="G40" s="177"/>
      <c r="H40" s="177"/>
      <c r="I40" s="177"/>
      <c r="K40" s="177"/>
      <c r="L40" s="177"/>
      <c r="M40" s="177"/>
      <c r="N40" s="177"/>
      <c r="O40" s="177"/>
      <c r="AV40" s="127">
        <f t="shared" si="0"/>
        <v>34</v>
      </c>
      <c r="AX40" s="172"/>
      <c r="CX40" s="167"/>
    </row>
    <row r="41" spans="1:150" ht="23.25" customHeight="1" x14ac:dyDescent="0.25">
      <c r="A41" s="140" t="str">
        <f>+A44&amp;":"</f>
        <v>Diluted earnings per share:</v>
      </c>
      <c r="B41" s="140" t="str">
        <f>+B44&amp;":"</f>
        <v>Diluted earnings per share:</v>
      </c>
      <c r="C41" s="140" t="str">
        <f>+C44&amp;":"</f>
        <v>Diluted earnings per share:</v>
      </c>
      <c r="AV41" s="127">
        <f t="shared" ref="AV41:AV72" si="3">+AV40+1</f>
        <v>35</v>
      </c>
      <c r="AX41" s="172"/>
      <c r="CX41" s="167"/>
    </row>
    <row r="42" spans="1:150" ht="15.75" customHeight="1" x14ac:dyDescent="0.25">
      <c r="A42" s="130" t="s">
        <v>195</v>
      </c>
      <c r="B42" s="130" t="str">
        <f>+A42</f>
        <v>Continuing operations</v>
      </c>
      <c r="C42" s="130" t="str">
        <f>+A42</f>
        <v>Continuing operations</v>
      </c>
      <c r="E42" s="143">
        <f>HLOOKUP(E$7,$AX$7:$CX$59,$AV42,FALSE)</f>
        <v>0.14266664668954049</v>
      </c>
      <c r="G42" s="143">
        <f>HLOOKUP(G$7,$AX$7:$CX$59,$AV42,FALSE)</f>
        <v>0.19691506115420279</v>
      </c>
      <c r="I42" s="143">
        <f>HLOOKUP(I$7,$AX$7:$CX$59,$AV42,FALSE)</f>
        <v>-0.47110397629044209</v>
      </c>
      <c r="K42" s="143">
        <f>HLOOKUP(K$7,$CX$7:$ET$59,$AV42,FALSE)</f>
        <v>5.5773646396563216E-2</v>
      </c>
      <c r="M42" s="143">
        <f>HLOOKUP(M$7,$CX$7:$ET$59,$AV42,FALSE)</f>
        <v>0.2401931111865708</v>
      </c>
      <c r="O42" s="143">
        <f>HLOOKUP(O$7,$CX$7:$ET$59,$AV42,FALSE)</f>
        <v>-1.3207411512709517</v>
      </c>
      <c r="Q42" s="125" t="str">
        <f>IF(E42&gt;0,"earnings per share","loss per share")</f>
        <v>earnings per share</v>
      </c>
      <c r="S42" s="125" t="str">
        <f>IF(G42&gt;0,"earnings per share","loss per share")</f>
        <v>earnings per share</v>
      </c>
      <c r="U42" s="125" t="str">
        <f>IF(I42&gt;0,"earnings per share","loss per share")</f>
        <v>loss per share</v>
      </c>
      <c r="AC42" s="125" t="str">
        <f>IF(K42&gt;0,"earnings per share","loss per share")</f>
        <v>earnings per share</v>
      </c>
      <c r="AE42" s="125" t="str">
        <f>IF(M42&gt;0,"earnings per share","loss per share")</f>
        <v>earnings per share</v>
      </c>
      <c r="AG42" s="125" t="str">
        <f>IF(O42&gt;0,"earnings per share","loss per share")</f>
        <v>loss per share</v>
      </c>
      <c r="AO42" s="126">
        <f>+AP42/ABS(G42)</f>
        <v>-0.27549144360359901</v>
      </c>
      <c r="AP42" s="144">
        <f>+E42-G42</f>
        <v>-5.4248414464662303E-2</v>
      </c>
      <c r="AR42" s="126">
        <f>+AS42/ABS(M42)</f>
        <v>-0.76779664445396667</v>
      </c>
      <c r="AS42" s="144">
        <f>+K42-M42</f>
        <v>-0.18441946479000759</v>
      </c>
      <c r="AV42" s="127">
        <f t="shared" si="3"/>
        <v>36</v>
      </c>
      <c r="AX42" s="172"/>
      <c r="AZ42" s="145">
        <f>IF(AZ30&gt;0,AZ30/AZ48,AZ30/AZ47)</f>
        <v>-0.11241200222152174</v>
      </c>
      <c r="BA42" s="145">
        <f>IFERROR(IF(BA30&gt;0,BA30/BA48,BA30/BA47),0)</f>
        <v>2.5732071491182458E-2</v>
      </c>
      <c r="BB42" s="145">
        <f>IFERROR(IF(BB30&gt;0,BB30/BB48,BB30/BB47),0)</f>
        <v>0.14266664668954049</v>
      </c>
      <c r="BC42" s="145">
        <f>IFERROR(IF(BC30&gt;0,BC30/BC48,BC30/BC47),0)</f>
        <v>0</v>
      </c>
      <c r="BD42" s="145">
        <f>IFERROR(IF(BD30&gt;0,BD30/BD48,BD30/BD47),0)</f>
        <v>5.5773646396563216E-2</v>
      </c>
      <c r="BF42" s="145">
        <f>IF(BF30&gt;0,BF30/BF48,BF30/BF47)</f>
        <v>-2.3850700031580373E-2</v>
      </c>
      <c r="BG42" s="145">
        <f>IF(BG30&gt;0,BG30/BG48,BG30/BG47)</f>
        <v>6.5951553014675549E-2</v>
      </c>
      <c r="BH42" s="145">
        <f>IF(BH30&gt;0,BH30/BH48,BH30/BH47)</f>
        <v>0.19691506115420279</v>
      </c>
      <c r="BI42" s="145">
        <f>IF(BI30&gt;0,BI30/BI48,BI30/BI47)</f>
        <v>-9.3150189225457231E-2</v>
      </c>
      <c r="BJ42" s="145">
        <f>IF(BJ30&gt;0,BJ30/BJ48,BJ30/BJ47)</f>
        <v>0.14857622427044376</v>
      </c>
      <c r="BL42" s="145">
        <f>IF(BL30&gt;0,BL30/BL48,BL30/BL47)</f>
        <v>-0.39790652456763592</v>
      </c>
      <c r="BM42" s="145">
        <f>IF(BM30&gt;0,BM30/BM48,BM30/BM47)</f>
        <v>-0.45361869560033385</v>
      </c>
      <c r="BN42" s="145">
        <f>IF(BN30&gt;0,BN30/BN48,BN30/BN47)</f>
        <v>-0.47110397629044209</v>
      </c>
      <c r="BO42" s="145">
        <f>IF(BO30&gt;0,BO30/BO48,BO30/BO47)</f>
        <v>-0.55173049166231614</v>
      </c>
      <c r="BP42" s="145">
        <f>IF(BP30&gt;0,BP30/BP48,BP30/BP47)</f>
        <v>-1.8704183747287195</v>
      </c>
      <c r="BR42" s="145">
        <f>IF(BR30&gt;0,BR30/BR48,BR30/BR47)</f>
        <v>0.24947920408016666</v>
      </c>
      <c r="BS42" s="145">
        <f>IF(BS30&gt;0,BS30/BS48,BS30/BS47)</f>
        <v>-9.451515240586697E-2</v>
      </c>
      <c r="BT42" s="145">
        <f>IF(BT30&gt;0,BT30/BT48,BT30/BT47)</f>
        <v>-0.22547294324681039</v>
      </c>
      <c r="BU42" s="145">
        <f>IF(BU30&gt;0,BU30/BU48,BU30/BU47)</f>
        <v>-0.43044388793696819</v>
      </c>
      <c r="BV42" s="145">
        <f>IF(BV30&gt;0,BV30/BV48,BV30/BV47)</f>
        <v>-0.4960050431748545</v>
      </c>
      <c r="BX42" s="145">
        <f>BX30/BX48</f>
        <v>-0.33137105383559556</v>
      </c>
      <c r="BY42" s="145">
        <f>BY30/BY48</f>
        <v>-0.36309650053022269</v>
      </c>
      <c r="BZ42" s="145">
        <f>BZ30/BZ48</f>
        <v>-0.17625482915683297</v>
      </c>
      <c r="CA42" s="145">
        <f>CA30/CA48</f>
        <v>-0.48944286331599884</v>
      </c>
      <c r="CB42" s="145">
        <f>CB30/CB48</f>
        <v>-1.3614364249247777</v>
      </c>
      <c r="CD42" s="145">
        <f>CD30/CD48</f>
        <v>-0.61155777435927205</v>
      </c>
      <c r="CE42" s="145">
        <f>CE30/CE48</f>
        <v>-0.59396607765498488</v>
      </c>
      <c r="CF42" s="145">
        <f>CF30/CF48</f>
        <v>-0.56378106798274863</v>
      </c>
      <c r="CG42" s="145">
        <f>CG30/CG48</f>
        <v>-7.2845902324678621E-2</v>
      </c>
      <c r="CH42" s="145">
        <f>CH30/CH48</f>
        <v>-1.8485979929161747</v>
      </c>
      <c r="CJ42" s="145">
        <f>CJ30/CJ48</f>
        <v>-0.3615779554169104</v>
      </c>
      <c r="CK42" s="145">
        <f>CK30/CK48</f>
        <v>-0.53171160004131801</v>
      </c>
      <c r="CL42" s="145">
        <f>CL30/CL48</f>
        <v>-0.19717563761337503</v>
      </c>
      <c r="CM42" s="145">
        <f>CM30/CM48</f>
        <v>-0.72750699131758889</v>
      </c>
      <c r="CN42" s="145">
        <f>CN30/CN48</f>
        <v>-1.7854838709677419</v>
      </c>
      <c r="CP42" s="145">
        <f>CP30/CP48</f>
        <v>-0.33321893430953836</v>
      </c>
      <c r="CQ42" s="145">
        <f>CQ30/CQ48</f>
        <v>-0.3179276834732126</v>
      </c>
      <c r="CR42" s="145">
        <f>CR30/CR48</f>
        <v>3.8073019091475403E-2</v>
      </c>
      <c r="CS42" s="145">
        <f>CS30/CS48</f>
        <v>-0.24181443508789782</v>
      </c>
      <c r="CT42" s="145">
        <f>CT30/CT48</f>
        <v>-0.85306308704414957</v>
      </c>
      <c r="CV42" s="125" t="e">
        <f>CV30/CV48</f>
        <v>#DIV/0!</v>
      </c>
      <c r="CX42" s="167"/>
      <c r="CZ42" s="145">
        <f>CZ30/CZ48</f>
        <v>-0.11241200222152174</v>
      </c>
      <c r="DA42" s="145">
        <f>IFERROR(IF(DA30&gt;0,DA30/DA48,DA30/DA47),0)</f>
        <v>-8.662679155851484E-2</v>
      </c>
      <c r="DB42" s="145">
        <f>IFERROR(IF(DB30&gt;0,DB30/DB48,DB30/DB47),0)</f>
        <v>5.5773646396563216E-2</v>
      </c>
      <c r="DC42" s="145">
        <f>IFERROR(IF(DC30&gt;0,DC30/DC48,DC30/DC47),0)</f>
        <v>0</v>
      </c>
      <c r="DD42" s="145">
        <f>IFERROR(IF(DD30&gt;0,DD30/DD48,DD30/DD47),0)</f>
        <v>5.5773646396563216E-2</v>
      </c>
      <c r="DF42" s="145">
        <f>DF30/DF48</f>
        <v>-2.3850700031580373E-2</v>
      </c>
      <c r="DG42" s="145">
        <f>DG30/DG48</f>
        <v>4.2733778908144553E-2</v>
      </c>
      <c r="DH42" s="145">
        <f>DH30/DH48</f>
        <v>0.2401931111865708</v>
      </c>
      <c r="DI42" s="145">
        <f>DI30/DI48</f>
        <v>0.14857622427044376</v>
      </c>
      <c r="DJ42" s="145">
        <f>DJ30/DJ48</f>
        <v>0.14857622427044376</v>
      </c>
      <c r="DL42" s="145">
        <f>DL30/DL48</f>
        <v>-0.39790652456763592</v>
      </c>
      <c r="DM42" s="145">
        <f>DM30/DM48</f>
        <v>-0.85098154981549812</v>
      </c>
      <c r="DN42" s="145">
        <f>DN30/DN48</f>
        <v>-1.3207411512709517</v>
      </c>
      <c r="DO42" s="145">
        <f>DO30/DO48</f>
        <v>-1.8704183747287195</v>
      </c>
      <c r="DP42" s="145">
        <f>DP30/DP48</f>
        <v>-1.8704183747287195</v>
      </c>
      <c r="DR42" s="145">
        <f>DR30/DR48</f>
        <v>0.24947920408016666</v>
      </c>
      <c r="DS42" s="145">
        <f>DS30/DS48</f>
        <v>0.15738488333597225</v>
      </c>
      <c r="DT42" s="145">
        <f>DT30/DT48</f>
        <v>-6.5129716808189242E-2</v>
      </c>
      <c r="DU42" s="145">
        <f>DU30/DU48</f>
        <v>-0.4960050431748545</v>
      </c>
      <c r="DV42" s="145">
        <f>DV30/DV48</f>
        <v>-0.4960050431748545</v>
      </c>
      <c r="DX42" s="145">
        <f>DX30/DX48</f>
        <v>-0.33137105383559556</v>
      </c>
      <c r="DY42" s="145">
        <f>DY30/DY48</f>
        <v>-0.6945736434108527</v>
      </c>
      <c r="DZ42" s="145">
        <f>DZ30/DZ48</f>
        <v>-0.86956280757768845</v>
      </c>
      <c r="EA42" s="145">
        <f>EA30/EA48</f>
        <v>-1.3614364249247777</v>
      </c>
      <c r="EB42" s="145">
        <f>EB30/EB48</f>
        <v>-1.3614364249247777</v>
      </c>
      <c r="ED42" s="145">
        <f>ED30/ED48</f>
        <v>-0.61155777435927205</v>
      </c>
      <c r="EE42" s="145">
        <f>EE30/EE48</f>
        <v>-1.2056812358152134</v>
      </c>
      <c r="EF42" s="145">
        <f>EF30/EF48</f>
        <v>-1.7697769806383323</v>
      </c>
      <c r="EG42" s="145">
        <f>EG30/EG48</f>
        <v>-1.8485979929161747</v>
      </c>
      <c r="EH42" s="145">
        <f>EH30/EH48</f>
        <v>-1.8485979929161747</v>
      </c>
      <c r="EJ42" s="145">
        <f>EJ30/EJ48</f>
        <v>-0.3615779554169104</v>
      </c>
      <c r="EK42" s="145">
        <f>EK30/EK48</f>
        <v>-0.8938548933496564</v>
      </c>
      <c r="EL42" s="145">
        <f>EL30/EL48</f>
        <v>-1.0905855143026628</v>
      </c>
      <c r="EM42" s="145">
        <f>EM30/EM48</f>
        <v>-1.7854838709677419</v>
      </c>
      <c r="EN42" s="145">
        <f>EN30/EN48</f>
        <v>-1.7854838709677419</v>
      </c>
      <c r="ES42" s="145">
        <f>ES30/ES48</f>
        <v>-0.85306308704414957</v>
      </c>
      <c r="ET42" s="145">
        <f>ET30/ET48</f>
        <v>-0.85306308704414957</v>
      </c>
    </row>
    <row r="43" spans="1:150" ht="15.75" customHeight="1" x14ac:dyDescent="0.25">
      <c r="A43" s="130" t="s">
        <v>196</v>
      </c>
      <c r="B43" s="130" t="str">
        <f>+A43</f>
        <v>Discontinued operations</v>
      </c>
      <c r="C43" s="130" t="str">
        <f>+A43</f>
        <v>Discontinued operations</v>
      </c>
      <c r="E43" s="146">
        <f>HLOOKUP(E$7,$AX$7:$CX$59,$AV43,FALSE)</f>
        <v>2.5291041757188021E-2</v>
      </c>
      <c r="G43" s="146">
        <f>HLOOKUP(G$7,$AX$7:$CX$59,$AV43,FALSE)</f>
        <v>8.8014953711199086E-3</v>
      </c>
      <c r="I43" s="146">
        <f>HLOOKUP(I$7,$AX$7:$CX$59,$AV43,FALSE)</f>
        <v>1.2904420844653E-2</v>
      </c>
      <c r="K43" s="146">
        <f>HLOOKUP(K$7,$CX$7:$ET$59,$AV43,FALSE)</f>
        <v>2.5005555144063402E-2</v>
      </c>
      <c r="M43" s="146">
        <f>HLOOKUP(M$7,$CX$7:$ET$59,$AV43,FALSE)</f>
        <v>1.4542394401547252E-2</v>
      </c>
      <c r="O43" s="146">
        <f>HLOOKUP(O$7,$CX$7:$ET$59,$AV43,FALSE)</f>
        <v>1.252228097242402E-2</v>
      </c>
      <c r="Q43" s="125" t="str">
        <f>IF(E43&gt;0,"earnings per share","loss per share")</f>
        <v>earnings per share</v>
      </c>
      <c r="S43" s="125" t="str">
        <f>IF(G43&gt;0,"earnings per share","loss per share")</f>
        <v>earnings per share</v>
      </c>
      <c r="U43" s="125" t="str">
        <f>IF(I43&gt;0,"earnings per share","loss per share")</f>
        <v>earnings per share</v>
      </c>
      <c r="AC43" s="125" t="str">
        <f>IF(K43&gt;0,"earnings per share","loss per share")</f>
        <v>earnings per share</v>
      </c>
      <c r="AE43" s="125" t="str">
        <f>IF(M43&gt;0,"earnings per share","loss per share")</f>
        <v>earnings per share</v>
      </c>
      <c r="AG43" s="125" t="str">
        <f>IF(O43&gt;0,"earnings per share","loss per share")</f>
        <v>earnings per share</v>
      </c>
      <c r="AO43" s="126">
        <f>+AP43/ABS(G43)</f>
        <v>1.8734937292786384</v>
      </c>
      <c r="AP43" s="144">
        <f>+E43-G43</f>
        <v>1.6489546386068112E-2</v>
      </c>
      <c r="AR43" s="126">
        <f>+AS43/ABS(M43)</f>
        <v>0.71949367164755973</v>
      </c>
      <c r="AS43" s="144">
        <f>+K43-M43</f>
        <v>1.046316074251615E-2</v>
      </c>
      <c r="AV43" s="127">
        <f t="shared" si="3"/>
        <v>37</v>
      </c>
      <c r="AX43" s="172"/>
      <c r="AZ43" s="145">
        <f>IF(AZ32&gt;0,AZ32/AZ48,AZ32/AZ47)</f>
        <v>0</v>
      </c>
      <c r="BA43" s="145">
        <f>IFERROR(IF(BA32&gt;0,BA32/BA48,BA32/BA47),0)</f>
        <v>0</v>
      </c>
      <c r="BB43" s="145">
        <f>IFERROR(IF(BB32&gt;0,BB32/BB48,BB32/BB47),0)</f>
        <v>2.5291041757188021E-2</v>
      </c>
      <c r="BC43" s="145">
        <f>IFERROR(IF(BC32&gt;0,BC32/BC48,BC32/BC47),0)</f>
        <v>0</v>
      </c>
      <c r="BD43" s="145">
        <f>IFERROR(IF(BD32&gt;0,BD32/BD48,BD32/BD47),0)</f>
        <v>2.5005555144063402E-2</v>
      </c>
      <c r="BF43" s="145">
        <f>IF(BF32&gt;0,BF32/BF48,BF32/BF47)</f>
        <v>0</v>
      </c>
      <c r="BG43" s="145">
        <f>IF(BG32&gt;0,BG32/BG48,BG32/BG47)</f>
        <v>5.7022455354511703E-3</v>
      </c>
      <c r="BH43" s="145">
        <f>IF(BH32&gt;0,BH32/BH48,BH32/BH47)</f>
        <v>8.8014953711199086E-3</v>
      </c>
      <c r="BI43" s="145">
        <f>IF(BI32&gt;0,BI32/BI48,BI32/BI47)</f>
        <v>1.2137569169066538E-2</v>
      </c>
      <c r="BJ43" s="145">
        <f>IF(BJ32&gt;0,BJ32/BJ48,BJ32/BJ47)</f>
        <v>2.6355310815983982E-2</v>
      </c>
      <c r="BL43" s="145">
        <f>IF(BL32&gt;0,BL32/BL48,BL32/BL47)</f>
        <v>0</v>
      </c>
      <c r="BM43" s="145">
        <f>IF(BM32&gt;0,BM32/BM48,BM32/BM47)</f>
        <v>0</v>
      </c>
      <c r="BN43" s="145">
        <f>IF(BN32&gt;0,BN32/BN48,BN32/BN47)</f>
        <v>1.2904420844653E-2</v>
      </c>
      <c r="BO43" s="145">
        <f>IF(BO32&gt;0,BO32/BO48,BO32/BO47)</f>
        <v>7.0140957528483247E-2</v>
      </c>
      <c r="BP43" s="145">
        <f>IF(BP32&gt;0,BP32/BP48,BP32/BP47)</f>
        <v>8.1444417651314202E-2</v>
      </c>
      <c r="BR43" s="145">
        <f>IF(BR32&gt;0,BR32/BR48,BR32/BR47)</f>
        <v>0</v>
      </c>
      <c r="BS43" s="145">
        <f>IF(BS32&gt;0,BS32/BS48,BS32/BS47)</f>
        <v>0</v>
      </c>
      <c r="BT43" s="145">
        <f>IF(BT32&gt;0,BT32/BT48,BT32/BT47)</f>
        <v>0</v>
      </c>
      <c r="BU43" s="145">
        <f>IF(BU32&gt;0,BU32/BU48,BU32/BU47)</f>
        <v>0</v>
      </c>
      <c r="BV43" s="145">
        <f>IF(BV32&gt;0,BV32/BV48,BV32/BV47)</f>
        <v>0</v>
      </c>
      <c r="BX43" s="145">
        <f>+BX32/BX48</f>
        <v>0</v>
      </c>
      <c r="BY43" s="145">
        <f>+BY32/BY48</f>
        <v>0</v>
      </c>
      <c r="BZ43" s="145">
        <f>+BZ32/BZ48</f>
        <v>0</v>
      </c>
      <c r="CA43" s="145">
        <f>+CA32/CA48</f>
        <v>0</v>
      </c>
      <c r="CB43" s="145">
        <f>+CB32/CB48</f>
        <v>0</v>
      </c>
      <c r="CD43" s="145">
        <f>+CD32/CD48</f>
        <v>0</v>
      </c>
      <c r="CE43" s="145">
        <f>+CE32/CE48</f>
        <v>0</v>
      </c>
      <c r="CF43" s="145">
        <f>+CF32/CF48</f>
        <v>0</v>
      </c>
      <c r="CG43" s="145">
        <f>+CG32/CG48</f>
        <v>1.119787389700942E-2</v>
      </c>
      <c r="CH43" s="145">
        <f>+CH32/CH48</f>
        <v>1.1068476977567887E-2</v>
      </c>
      <c r="CJ43" s="145">
        <f>+CJ32/CJ48</f>
        <v>0.32238902970039646</v>
      </c>
      <c r="CK43" s="145">
        <f>+CK32/CK48</f>
        <v>0.79799349240780915</v>
      </c>
      <c r="CL43" s="145">
        <f>+CL32/CL48</f>
        <v>13.84610713455128</v>
      </c>
      <c r="CM43" s="145">
        <f>+CM32/CM48</f>
        <v>6.1889632351864593E-2</v>
      </c>
      <c r="CN43" s="145">
        <f>+CN32/CN48</f>
        <v>15.495787789922687</v>
      </c>
      <c r="CP43" s="145">
        <f>+CP32/CP48</f>
        <v>0.31669463087248323</v>
      </c>
      <c r="CQ43" s="145">
        <f>+CQ32/CQ48</f>
        <v>0.27582507730169747</v>
      </c>
      <c r="CR43" s="145">
        <f>+CR32/CR48</f>
        <v>0.24214293566551442</v>
      </c>
      <c r="CS43" s="145">
        <f>+CS32/CS48</f>
        <v>0.30764240466074744</v>
      </c>
      <c r="CT43" s="145">
        <f>+CT32/CT48</f>
        <v>1.1506889252259447</v>
      </c>
      <c r="CV43" s="147" t="e">
        <f>+CV32/CV48</f>
        <v>#DIV/0!</v>
      </c>
      <c r="CX43" s="167"/>
      <c r="CZ43" s="145">
        <f>+CZ32/CZ48</f>
        <v>0</v>
      </c>
      <c r="DA43" s="145">
        <f>IFERROR(IF(DA32&gt;0,DA32/DA48,DA32/DA47),0)</f>
        <v>0</v>
      </c>
      <c r="DB43" s="145">
        <f>IFERROR(IF(DB32&gt;0,DB32/DB48,DB32/DB47),0)</f>
        <v>2.5005555144063402E-2</v>
      </c>
      <c r="DC43" s="145">
        <f>IFERROR(IF(DC32&gt;0,DC32/DC48,DC32/DC47),0)</f>
        <v>0</v>
      </c>
      <c r="DD43" s="145">
        <f>IFERROR(IF(DD32&gt;0,DD32/DD48,DD32/DD47),0)</f>
        <v>2.5005555144063402E-2</v>
      </c>
      <c r="DF43" s="145">
        <f>+DF32/DF48</f>
        <v>0</v>
      </c>
      <c r="DG43" s="145">
        <f>+DG32/DG48</f>
        <v>5.7224818122671084E-3</v>
      </c>
      <c r="DH43" s="145">
        <f>+DH32/DH48</f>
        <v>1.4542394401547252E-2</v>
      </c>
      <c r="DI43" s="145">
        <f>+DI32/DI48</f>
        <v>2.6355310815983982E-2</v>
      </c>
      <c r="DJ43" s="145">
        <f>+DJ32/DJ48</f>
        <v>2.6355310815983982E-2</v>
      </c>
      <c r="DL43" s="145">
        <f>+DL32/DL48</f>
        <v>0</v>
      </c>
      <c r="DM43" s="145">
        <f>+DM32/DM48</f>
        <v>0</v>
      </c>
      <c r="DN43" s="145">
        <f>+DN32/DN48</f>
        <v>1.252228097242402E-2</v>
      </c>
      <c r="DO43" s="145">
        <f>+DO32/DO48</f>
        <v>8.1444417651314202E-2</v>
      </c>
      <c r="DP43" s="145">
        <f>+DP32/DP48</f>
        <v>8.1444417651314202E-2</v>
      </c>
      <c r="DR43" s="145">
        <f>+DR32/DR48</f>
        <v>0</v>
      </c>
      <c r="DS43" s="145">
        <f>+DS32/DS48</f>
        <v>0</v>
      </c>
      <c r="DT43" s="145">
        <f>+DT32/DT48</f>
        <v>0</v>
      </c>
      <c r="DU43" s="145">
        <f>+DU32/DU48</f>
        <v>0</v>
      </c>
      <c r="DV43" s="145">
        <f>+DV32/DV48</f>
        <v>0</v>
      </c>
      <c r="DX43" s="145">
        <f>+DX32/DX48</f>
        <v>0</v>
      </c>
      <c r="DY43" s="145">
        <f>+DY32/DY48</f>
        <v>0</v>
      </c>
      <c r="DZ43" s="145">
        <f>+DZ32/DZ48</f>
        <v>0</v>
      </c>
      <c r="EA43" s="145">
        <f>+EA32/EA48</f>
        <v>0</v>
      </c>
      <c r="EB43" s="145">
        <f>+EB32/EB48</f>
        <v>0</v>
      </c>
      <c r="ED43" s="145">
        <f>+ED32/ED48</f>
        <v>0</v>
      </c>
      <c r="EE43" s="145">
        <f>+EE32/EE48</f>
        <v>0</v>
      </c>
      <c r="EF43" s="145">
        <f>+EF32/EF48</f>
        <v>0</v>
      </c>
      <c r="EG43" s="145">
        <f>+EG32/EG48</f>
        <v>1.1068476977567887E-2</v>
      </c>
      <c r="EH43" s="145">
        <f>+EH32/EH48</f>
        <v>1.1068476977567887E-2</v>
      </c>
      <c r="EJ43" s="145">
        <f>+EJ32/EJ48</f>
        <v>0.32238902970039646</v>
      </c>
      <c r="EK43" s="145">
        <f>+EK32/EK48</f>
        <v>1.1219629104240751</v>
      </c>
      <c r="EL43" s="145">
        <f>+EL32/EL48</f>
        <v>14.991742269606837</v>
      </c>
      <c r="EM43" s="145">
        <f>+EM32/EM48</f>
        <v>15.495787789922687</v>
      </c>
      <c r="EN43" s="145">
        <f>+EN32/EN48</f>
        <v>15.495787789922687</v>
      </c>
      <c r="ES43" s="145">
        <f>+ES32/ES48</f>
        <v>1.1506889252259447</v>
      </c>
      <c r="ET43" s="145">
        <f>+ET32/ET48</f>
        <v>1.1506889252259447</v>
      </c>
    </row>
    <row r="44" spans="1:150" ht="23.25" customHeight="1" x14ac:dyDescent="0.25">
      <c r="A44" s="140" t="str">
        <f>IF(Q44=S44,"Diluted "&amp;Q44,"Diluted earnings (loss) per share")</f>
        <v>Diluted earnings per share</v>
      </c>
      <c r="B44" s="140" t="str">
        <f>IF(AC44=AE44,"Diluted "&amp;AC44,"Diluted earnings (loss) per share")</f>
        <v>Diluted earnings per share</v>
      </c>
      <c r="C44" s="140" t="str">
        <f>IF(A44=B44,A44,"Diluted earnings (loss) per share")</f>
        <v>Diluted earnings per share</v>
      </c>
      <c r="E44" s="148">
        <f>HLOOKUP(E$7,$AX$7:$CX$59,$AV44,FALSE)</f>
        <v>0.16795768844672851</v>
      </c>
      <c r="F44" s="176"/>
      <c r="G44" s="148">
        <f>HLOOKUP(G$7,$AX$7:$CX$59,$AV44,FALSE)</f>
        <v>0.2057165565253227</v>
      </c>
      <c r="H44" s="176"/>
      <c r="I44" s="148">
        <f>HLOOKUP(I$7,$AX$7:$CX$59,$AV44,FALSE)</f>
        <v>-0.45819955544578911</v>
      </c>
      <c r="K44" s="148">
        <f>HLOOKUP(K$7,$CX$7:$ET$59,$AV44,FALSE)</f>
        <v>8.0779201540626622E-2</v>
      </c>
      <c r="L44" s="176"/>
      <c r="M44" s="148">
        <f>HLOOKUP(M$7,$CX$7:$ET$59,$AV44,FALSE)</f>
        <v>0.25473550558811803</v>
      </c>
      <c r="N44" s="176"/>
      <c r="O44" s="148">
        <f>HLOOKUP(O$7,$CX$7:$ET$59,$AV44,FALSE)</f>
        <v>-1.3082188702985276</v>
      </c>
      <c r="Q44" s="125" t="str">
        <f>IF(E44&gt;0,"earnings per share","loss per share")</f>
        <v>earnings per share</v>
      </c>
      <c r="S44" s="125" t="str">
        <f>IF(G44&gt;0,"earnings per share","loss per share")</f>
        <v>earnings per share</v>
      </c>
      <c r="U44" s="125" t="str">
        <f>IF(I44&gt;0,"earnings per share","loss per share")</f>
        <v>loss per share</v>
      </c>
      <c r="AC44" s="125" t="str">
        <f>IF(K44&gt;0,"earnings per share","loss per share")</f>
        <v>earnings per share</v>
      </c>
      <c r="AE44" s="125" t="str">
        <f>IF(M44&gt;0,"earnings per share","loss per share")</f>
        <v>earnings per share</v>
      </c>
      <c r="AG44" s="125" t="str">
        <f>IF(O44&gt;0,"earnings per share","loss per share")</f>
        <v>loss per share</v>
      </c>
      <c r="AO44" s="126">
        <f>+AP44/ABS(G44)</f>
        <v>-0.1835480270346945</v>
      </c>
      <c r="AP44" s="144">
        <f>+E44-G44</f>
        <v>-3.7758868078594188E-2</v>
      </c>
      <c r="AR44" s="126">
        <f>+AS44/ABS(M44)</f>
        <v>-0.68288990043171072</v>
      </c>
      <c r="AS44" s="144">
        <f>+K44-M44</f>
        <v>-0.17395630404749141</v>
      </c>
      <c r="AV44" s="127">
        <f t="shared" si="3"/>
        <v>38</v>
      </c>
      <c r="AX44" s="172"/>
      <c r="AZ44" s="145">
        <f>IF(AZ34&gt;0,AZ34/AZ48,AZ34/AZ47)</f>
        <v>-0.11241200222152174</v>
      </c>
      <c r="BA44" s="145">
        <f>IFERROR(IF(BA34&gt;0,BA34/BA48,BA34/BA47),0)</f>
        <v>2.5732071491182458E-2</v>
      </c>
      <c r="BB44" s="145">
        <f>IFERROR(IF(BB34&gt;0,BB34/BB48,BB34/BB47),0)</f>
        <v>0.16795768844672851</v>
      </c>
      <c r="BC44" s="145">
        <f>IFERROR(IF(BC34&gt;0,BC34/BC48,BC34/BC47),0)</f>
        <v>0</v>
      </c>
      <c r="BD44" s="145">
        <f>IFERROR(IF(BD34&gt;0,BD34/BD48,BD34/BD47),0)</f>
        <v>8.0779201540626622E-2</v>
      </c>
      <c r="BF44" s="145">
        <f>IF(BF34&gt;0,BF34/BF48,BF34/BF47)</f>
        <v>-2.3850700031580373E-2</v>
      </c>
      <c r="BG44" s="145">
        <f>IF(BG34&gt;0,BG34/BG48,BG34/BG47)</f>
        <v>7.1653798550126713E-2</v>
      </c>
      <c r="BH44" s="145">
        <f>IF(BH34&gt;0,BH34/BH48,BH34/BH47)</f>
        <v>0.2057165565253227</v>
      </c>
      <c r="BI44" s="145">
        <f>IF(BI34&gt;0,BI34/BI48,BI34/BI47)</f>
        <v>-8.1012620056390691E-2</v>
      </c>
      <c r="BJ44" s="145">
        <f>IF(BJ34&gt;0,BJ34/BJ48,BJ34/BJ47)</f>
        <v>0.17493153508642775</v>
      </c>
      <c r="BL44" s="145">
        <f>IF(BL34&gt;0,BL34/BL48,BL34/BL47)</f>
        <v>-0.39790652456763592</v>
      </c>
      <c r="BM44" s="145">
        <f>IF(BM34&gt;0,BM34/BM48,BM34/BM47)</f>
        <v>-0.45361869560033385</v>
      </c>
      <c r="BN44" s="145">
        <f>IF(BN34&gt;0,BN34/BN48,BN34/BN47)</f>
        <v>-0.45819955544578911</v>
      </c>
      <c r="BO44" s="145">
        <f>IF(BO34&gt;0,BO34/BO48,BO34/BO47)</f>
        <v>-0.48158953413383288</v>
      </c>
      <c r="BP44" s="145">
        <f>IF(BP34&gt;0,BP34/BP48,BP34/BP47)</f>
        <v>-1.7889739570774053</v>
      </c>
      <c r="BR44" s="145">
        <f>IF(BR34&gt;0,BR34/BR48,BR34/BR47)</f>
        <v>0.24947920408016666</v>
      </c>
      <c r="BS44" s="145">
        <f>IF(BS34&gt;0,BS34/BS48,BS34/BS47)</f>
        <v>-9.451515240586697E-2</v>
      </c>
      <c r="BT44" s="145">
        <f>IF(BT34&gt;0,BT34/BT48,BT34/BT47)</f>
        <v>-0.22547294324681039</v>
      </c>
      <c r="BU44" s="145">
        <f>IF(BU34&gt;0,BU34/BU48,BU34/BU47)</f>
        <v>-0.43044388793696819</v>
      </c>
      <c r="BV44" s="145">
        <f>IF(BV34&gt;0,BV34/BV48,BV34/BV47)</f>
        <v>-0.4960050431748545</v>
      </c>
      <c r="BX44" s="145">
        <f>BX34/BX48</f>
        <v>-0.33137105383559556</v>
      </c>
      <c r="BY44" s="145">
        <f>BY34/BY48</f>
        <v>-0.36309650053022269</v>
      </c>
      <c r="BZ44" s="145">
        <f>BZ34/BZ48</f>
        <v>-0.17625482915683297</v>
      </c>
      <c r="CA44" s="145">
        <f>CA34/CA48</f>
        <v>-0.48944286331599884</v>
      </c>
      <c r="CB44" s="145">
        <f>CB34/CB48</f>
        <v>-1.3614364249247777</v>
      </c>
      <c r="CD44" s="145">
        <f>CD34/CD48</f>
        <v>-0.61155777435927205</v>
      </c>
      <c r="CE44" s="145">
        <f>CE34/CE48</f>
        <v>-0.59396607765498488</v>
      </c>
      <c r="CF44" s="145">
        <f>CF34/CF48</f>
        <v>-0.56378106798274863</v>
      </c>
      <c r="CG44" s="145">
        <f>CG34/CG48</f>
        <v>-6.1648028427669199E-2</v>
      </c>
      <c r="CH44" s="145">
        <f>CH34/CH48</f>
        <v>-1.8375295159386069</v>
      </c>
      <c r="CJ44" s="145">
        <f>CJ34/CJ48</f>
        <v>-3.9188925716513938E-2</v>
      </c>
      <c r="CK44" s="145">
        <f>CK34/CK48</f>
        <v>0.26628189236649108</v>
      </c>
      <c r="CL44" s="145">
        <f>CL34/CL48</f>
        <v>13.648931496937905</v>
      </c>
      <c r="CM44" s="145">
        <f>CM34/CM48</f>
        <v>-0.66561735896572427</v>
      </c>
      <c r="CN44" s="145">
        <f>CN34/CN48</f>
        <v>13.710303918954946</v>
      </c>
      <c r="CP44" s="145">
        <f>CP34/CP48</f>
        <v>-1.6524303437055115E-2</v>
      </c>
      <c r="CQ44" s="145">
        <f>CQ34/CQ48</f>
        <v>-4.2102606171515115E-2</v>
      </c>
      <c r="CR44" s="145">
        <f>CR34/CR48</f>
        <v>0.28021595475698985</v>
      </c>
      <c r="CS44" s="145">
        <f>CS34/CS48</f>
        <v>6.5827969572849615E-2</v>
      </c>
      <c r="CT44" s="145">
        <f>CT34/CT48</f>
        <v>0.29762583818179511</v>
      </c>
      <c r="CV44" s="125" t="e">
        <f>CV34/CV48</f>
        <v>#DIV/0!</v>
      </c>
      <c r="CX44" s="167"/>
      <c r="CZ44" s="145">
        <f>CZ34/CZ48</f>
        <v>-0.11241200222152174</v>
      </c>
      <c r="DA44" s="145">
        <f>IFERROR(IF(DA34&gt;0,DA34/DA48,DA34/DA47),0)</f>
        <v>-8.662679155851484E-2</v>
      </c>
      <c r="DB44" s="145">
        <f>IFERROR(IF(DB34&gt;0,DB34/DB48,DB34/DB47),0)</f>
        <v>8.0779201540626622E-2</v>
      </c>
      <c r="DC44" s="145">
        <f>IFERROR(IF(DC34&gt;0,DC34/DC48,DC34/DC47),0)</f>
        <v>0</v>
      </c>
      <c r="DD44" s="145">
        <f>IFERROR(IF(DD34&gt;0,DD34/DD48,DD34/DD47),0)</f>
        <v>8.0779201540626622E-2</v>
      </c>
      <c r="DF44" s="145">
        <f>DF34/DF48</f>
        <v>-2.3850700031580373E-2</v>
      </c>
      <c r="DG44" s="145">
        <f>DG34/DG48</f>
        <v>4.8456260720411662E-2</v>
      </c>
      <c r="DH44" s="145">
        <f>DH34/DH48</f>
        <v>0.25473550558811803</v>
      </c>
      <c r="DI44" s="145">
        <f>DI34/DI48</f>
        <v>0.17493153508642775</v>
      </c>
      <c r="DJ44" s="145">
        <f>DJ34/DJ48</f>
        <v>0.17493153508642775</v>
      </c>
      <c r="DL44" s="145">
        <f>DL34/DL48</f>
        <v>-0.39790652456763592</v>
      </c>
      <c r="DM44" s="145">
        <f>DM34/DM48</f>
        <v>-0.85098154981549812</v>
      </c>
      <c r="DN44" s="145">
        <f>DN34/DN48</f>
        <v>-1.3082188702985276</v>
      </c>
      <c r="DO44" s="145">
        <f>DO34/DO48</f>
        <v>-1.7889739570774053</v>
      </c>
      <c r="DP44" s="145">
        <f>DP34/DP48</f>
        <v>-1.7889739570774053</v>
      </c>
      <c r="DR44" s="145">
        <f>DR34/DR48</f>
        <v>0.24947920408016666</v>
      </c>
      <c r="DS44" s="145">
        <f>DS34/DS48</f>
        <v>0.15738488333597225</v>
      </c>
      <c r="DT44" s="145">
        <f>DT34/DT48</f>
        <v>-6.5129716808189242E-2</v>
      </c>
      <c r="DU44" s="145">
        <f>DU34/DU48</f>
        <v>-0.4960050431748545</v>
      </c>
      <c r="DV44" s="145">
        <f>DV34/DV48</f>
        <v>-0.4960050431748545</v>
      </c>
      <c r="DX44" s="145">
        <f>DX34/DX48</f>
        <v>-0.33137105383559556</v>
      </c>
      <c r="DY44" s="145">
        <f>DY34/DY48</f>
        <v>-0.6945736434108527</v>
      </c>
      <c r="DZ44" s="145">
        <f>DZ34/DZ48</f>
        <v>-0.86956280757768845</v>
      </c>
      <c r="EA44" s="145">
        <f>EA34/EA48</f>
        <v>-1.3614364249247777</v>
      </c>
      <c r="EB44" s="145">
        <f>EB34/EB48</f>
        <v>-1.3614364249247777</v>
      </c>
      <c r="ED44" s="145">
        <f>ED34/ED48</f>
        <v>-0.61155777435927205</v>
      </c>
      <c r="EE44" s="145">
        <f>EE34/EE48</f>
        <v>-1.2056812358152134</v>
      </c>
      <c r="EF44" s="145">
        <f>EF34/EF48</f>
        <v>-1.7697769806383323</v>
      </c>
      <c r="EG44" s="145">
        <f>EG34/EG48</f>
        <v>-1.8375295159386069</v>
      </c>
      <c r="EH44" s="145">
        <f>EH34/EH48</f>
        <v>-1.8375295159386069</v>
      </c>
      <c r="EJ44" s="145">
        <f>EJ34/EJ48</f>
        <v>-3.9188925716513938E-2</v>
      </c>
      <c r="EK44" s="145">
        <f>EK34/EK48</f>
        <v>0.22810801707441883</v>
      </c>
      <c r="EL44" s="145">
        <f>EL34/EL48</f>
        <v>13.901156755304173</v>
      </c>
      <c r="EM44" s="145">
        <f>EM34/EM48</f>
        <v>13.710303918954946</v>
      </c>
      <c r="EN44" s="145">
        <f>EN34/EN48</f>
        <v>13.710303918954946</v>
      </c>
      <c r="ES44" s="145">
        <f>ES34/ES48</f>
        <v>0.29762583818179511</v>
      </c>
      <c r="ET44" s="145">
        <f>ET34/ET48</f>
        <v>0.29762583818179511</v>
      </c>
    </row>
    <row r="45" spans="1:150" ht="15.75" customHeight="1" x14ac:dyDescent="0.25">
      <c r="E45" s="104"/>
      <c r="F45" s="104"/>
      <c r="G45" s="104"/>
      <c r="H45" s="104"/>
      <c r="I45" s="104"/>
      <c r="K45" s="104"/>
      <c r="L45" s="104"/>
      <c r="M45" s="104"/>
      <c r="N45" s="104"/>
      <c r="O45" s="104"/>
      <c r="AV45" s="127">
        <f t="shared" si="3"/>
        <v>39</v>
      </c>
      <c r="AX45" s="172"/>
      <c r="CX45" s="167"/>
    </row>
    <row r="46" spans="1:150" ht="15.75" customHeight="1" x14ac:dyDescent="0.25">
      <c r="A46" s="384" t="s">
        <v>197</v>
      </c>
      <c r="B46" s="384"/>
      <c r="C46" s="384"/>
      <c r="AV46" s="127">
        <f t="shared" si="3"/>
        <v>40</v>
      </c>
      <c r="AX46" s="172"/>
      <c r="CX46" s="167"/>
    </row>
    <row r="47" spans="1:150" ht="27.5" customHeight="1" x14ac:dyDescent="0.25">
      <c r="A47" s="19" t="s">
        <v>198</v>
      </c>
      <c r="B47" s="178"/>
      <c r="C47" s="163"/>
      <c r="E47" s="149">
        <f>HLOOKUP(E$7,$AX$7:$CX$59,$AV47,FALSE)</f>
        <v>65631000</v>
      </c>
      <c r="G47" s="149">
        <f>HLOOKUP(G$7,$AX$7:$CX$59,$AV47,FALSE)</f>
        <v>65961000</v>
      </c>
      <c r="I47" s="149">
        <f>HLOOKUP(I$7,$AX$7:$CX$59,$AV47,FALSE)</f>
        <v>64784000</v>
      </c>
      <c r="K47" s="149">
        <f>HLOOKUP(K$7,$CX$7:$ET$59,$AV47,FALSE)</f>
        <v>66182000</v>
      </c>
      <c r="M47" s="149">
        <f>HLOOKUP(M$7,$CX$7:$ET$59,$AV47,FALSE)</f>
        <v>66247333</v>
      </c>
      <c r="O47" s="149">
        <f>HLOOKUP(O$7,$CX$7:$ET$59,$AV47,FALSE)</f>
        <v>66761000</v>
      </c>
      <c r="AV47" s="127">
        <f t="shared" si="3"/>
        <v>41</v>
      </c>
      <c r="AX47" s="172"/>
      <c r="AZ47" s="72">
        <v>66621000</v>
      </c>
      <c r="BA47" s="72">
        <v>66294000</v>
      </c>
      <c r="BB47" s="72">
        <v>65631000</v>
      </c>
      <c r="BC47" s="72">
        <v>0</v>
      </c>
      <c r="BD47" s="72">
        <f>+SUM(AZ47:BC47)/COUNTIF(AZ47:BC47,"&gt;0")</f>
        <v>66182000</v>
      </c>
      <c r="BF47" s="72">
        <v>66497000</v>
      </c>
      <c r="BG47" s="72">
        <v>66284000</v>
      </c>
      <c r="BH47" s="72">
        <v>65961000</v>
      </c>
      <c r="BI47" s="72">
        <v>66323000</v>
      </c>
      <c r="BJ47" s="72">
        <v>66266000</v>
      </c>
      <c r="BL47" s="72">
        <v>68403000</v>
      </c>
      <c r="BM47" s="72">
        <v>67096000</v>
      </c>
      <c r="BN47" s="72">
        <v>64784000</v>
      </c>
      <c r="BO47" s="72">
        <v>65126000</v>
      </c>
      <c r="BP47" s="72">
        <v>66352000</v>
      </c>
      <c r="BR47" s="72">
        <v>68328000</v>
      </c>
      <c r="BS47" s="72">
        <v>68042000</v>
      </c>
      <c r="BT47" s="72">
        <v>68190000</v>
      </c>
      <c r="BU47" s="72">
        <v>68283000</v>
      </c>
      <c r="BV47" s="72">
        <v>68211000</v>
      </c>
      <c r="BX47" s="72">
        <v>65570000</v>
      </c>
      <c r="BY47" s="72">
        <v>66010000</v>
      </c>
      <c r="BZ47" s="72">
        <v>66523000</v>
      </c>
      <c r="CA47" s="72">
        <v>67111000</v>
      </c>
      <c r="CB47" s="72">
        <f>AVERAGE(BX47:CA47)</f>
        <v>66303500</v>
      </c>
      <c r="CD47" s="72">
        <v>68906000</v>
      </c>
      <c r="CE47" s="72">
        <v>67684000</v>
      </c>
      <c r="CF47" s="72">
        <v>67473000</v>
      </c>
      <c r="CG47" s="72">
        <v>66977000</v>
      </c>
      <c r="CH47" s="72">
        <f>AVERAGE(CD47:CG47)</f>
        <v>67760000</v>
      </c>
      <c r="CJ47" s="72">
        <v>76935000</v>
      </c>
      <c r="CK47" s="72">
        <v>77448000</v>
      </c>
      <c r="CL47" s="72">
        <v>77398000</v>
      </c>
      <c r="CM47" s="72">
        <v>68299000</v>
      </c>
      <c r="CN47" s="72">
        <v>75020000</v>
      </c>
      <c r="CP47" s="94">
        <v>78672000</v>
      </c>
      <c r="CQ47" s="94">
        <v>79235000</v>
      </c>
      <c r="CR47" s="94">
        <v>79043000</v>
      </c>
      <c r="CS47" s="94">
        <v>78614000</v>
      </c>
      <c r="CT47" s="94">
        <v>78891000</v>
      </c>
      <c r="CX47" s="167"/>
      <c r="CZ47" s="94">
        <f>AVERAGE(AZ47)</f>
        <v>66621000</v>
      </c>
      <c r="DA47" s="94">
        <f>IF(BA47=0,0,ROUND(AVERAGE($AZ47:BA47),0))</f>
        <v>66457500</v>
      </c>
      <c r="DB47" s="94">
        <f>IF(BB47=0,0,ROUND(AVERAGE($AZ47:BB47),0))</f>
        <v>66182000</v>
      </c>
      <c r="DC47" s="94">
        <f>IF(BC47=0,0,ROUND(AVERAGE($AZ47:BC47),0))</f>
        <v>0</v>
      </c>
      <c r="DD47" s="94">
        <f>+BD47</f>
        <v>66182000</v>
      </c>
      <c r="DF47" s="94">
        <f>AVERAGE(BF47)</f>
        <v>66497000</v>
      </c>
      <c r="DG47" s="94">
        <f>IF(BG47=0,0,ROUND(AVERAGE($BF47:BG47),0))</f>
        <v>66390500</v>
      </c>
      <c r="DH47" s="94">
        <f>IF(BH47=0,0,ROUND(AVERAGE($BF47:BH47),0))</f>
        <v>66247333</v>
      </c>
      <c r="DI47" s="94">
        <f>IF(BI47=0,0,ROUND(AVERAGE($BF47:BI47),0))</f>
        <v>66266250</v>
      </c>
      <c r="DJ47" s="94">
        <f>+DI47</f>
        <v>66266250</v>
      </c>
      <c r="DL47" s="94">
        <f>AVERAGE(BL47)</f>
        <v>68403000</v>
      </c>
      <c r="DM47" s="150">
        <v>67750000</v>
      </c>
      <c r="DN47" s="94">
        <f>IF(BN47=0,0,ROUND(AVERAGE($BL47:BN47),0))</f>
        <v>66761000</v>
      </c>
      <c r="DO47" s="94">
        <f>IF(BO47=0,0,ROUND(AVERAGE($BL47:BO47),0))</f>
        <v>66352250</v>
      </c>
      <c r="DP47" s="94">
        <f>+DO47</f>
        <v>66352250</v>
      </c>
      <c r="DR47" s="94">
        <f>AVERAGE(BR47)</f>
        <v>68328000</v>
      </c>
      <c r="DS47" s="94">
        <f>IF(BS47=0,0,ROUND(AVERAGE($BR47:BS47),0))</f>
        <v>68185000</v>
      </c>
      <c r="DT47" s="94">
        <f>IF(BT47=0,0,ROUND(AVERAGE($BR47:BT47),0))</f>
        <v>68186667</v>
      </c>
      <c r="DU47" s="94">
        <f>IF(BU47=0,0,ROUND(AVERAGE($BR47:BU47),0))</f>
        <v>68210750</v>
      </c>
      <c r="DV47" s="94">
        <f>+DU47</f>
        <v>68210750</v>
      </c>
      <c r="DX47" s="94">
        <f>AVERAGE(BX47)</f>
        <v>65570000</v>
      </c>
      <c r="DY47" s="94">
        <f>IF(BY47=0,0,ROUND(AVERAGE($BX47:BY47),0))</f>
        <v>65790000</v>
      </c>
      <c r="DZ47" s="94">
        <f>IF(BZ47=0,0,ROUND(AVERAGE($BX47:BZ47),0))</f>
        <v>66034333</v>
      </c>
      <c r="EA47" s="94">
        <f>IF(CA47=0,0,ROUND(AVERAGE($BX47:CA47),0))</f>
        <v>66303500</v>
      </c>
      <c r="EB47" s="94">
        <f>+EA47</f>
        <v>66303500</v>
      </c>
      <c r="ED47" s="94">
        <f>AVERAGE(CD47)</f>
        <v>68906000</v>
      </c>
      <c r="EE47" s="94">
        <f>IF(CE47=0,0,ROUND(AVERAGE($CD47:CE47),0))</f>
        <v>68295000</v>
      </c>
      <c r="EF47" s="94">
        <f>IF(CF47=0,0,ROUND(AVERAGE($CD47:CF47),0))</f>
        <v>68021000</v>
      </c>
      <c r="EG47" s="94">
        <f>IF(CG47=0,0,ROUND(AVERAGE($CD47:CG47),0))</f>
        <v>67760000</v>
      </c>
      <c r="EH47" s="94">
        <f>+EG47</f>
        <v>67760000</v>
      </c>
      <c r="EJ47" s="94">
        <f>AVERAGE(CJ47)</f>
        <v>76935000</v>
      </c>
      <c r="EK47" s="94">
        <f>IF(CK47=0,0,ROUND(AVERAGE($CJ47:CK47),0))</f>
        <v>77191500</v>
      </c>
      <c r="EL47" s="94">
        <f>IF(CL47=0,0,ROUND(AVERAGE($CJ47:CL47),0))</f>
        <v>77260333</v>
      </c>
      <c r="EM47" s="94">
        <f>IF(CM47=0,0,ROUND(AVERAGE($CJ47:CM47),0))</f>
        <v>75020000</v>
      </c>
      <c r="EN47" s="94">
        <f>+EM47</f>
        <v>75020000</v>
      </c>
      <c r="ES47" s="94">
        <f>IF(CS47=0,0,ROUND(AVERAGE($CP47:CS47),0))</f>
        <v>78891000</v>
      </c>
      <c r="ET47" s="94">
        <f>+ES47</f>
        <v>78891000</v>
      </c>
    </row>
    <row r="48" spans="1:150" ht="27.5" customHeight="1" x14ac:dyDescent="0.25">
      <c r="A48" s="22" t="s">
        <v>199</v>
      </c>
      <c r="E48" s="149">
        <f>HLOOKUP(E$7,$AX$7:$CX$59,$AV48,FALSE)</f>
        <v>66743000</v>
      </c>
      <c r="G48" s="149">
        <f>HLOOKUP(G$7,$AX$7:$CX$59,$AV48,FALSE)</f>
        <v>67943000</v>
      </c>
      <c r="I48" s="149">
        <f>HLOOKUP(I$7,$AX$7:$CX$59,$AV48,FALSE)</f>
        <v>64784000</v>
      </c>
      <c r="K48" s="149">
        <f>HLOOKUP(K$7,$CX$7:$ET$59,$AV48,FALSE)</f>
        <v>67505000</v>
      </c>
      <c r="M48" s="149">
        <f>HLOOKUP(M$7,$CX$7:$ET$59,$AV48,FALSE)</f>
        <v>67733000</v>
      </c>
      <c r="O48" s="149">
        <f>HLOOKUP(O$7,$CX$7:$ET$59,$AV48,FALSE)</f>
        <v>66761000</v>
      </c>
      <c r="W48" s="151">
        <f>(+E48-G48)/G48</f>
        <v>-1.7661863620976406E-2</v>
      </c>
      <c r="Y48" s="151">
        <f>(+G48-I48)/I48</f>
        <v>4.8762040009878979E-2</v>
      </c>
      <c r="AV48" s="127">
        <f t="shared" si="3"/>
        <v>42</v>
      </c>
      <c r="AX48" s="172"/>
      <c r="AZ48" s="72">
        <f>IF(AZ34&lt;0,AZ47,AZ49)</f>
        <v>66621000</v>
      </c>
      <c r="BA48" s="72">
        <f>IF(BA34&lt;0,BA47,BA49)</f>
        <v>67309000</v>
      </c>
      <c r="BB48" s="72">
        <f>IF(BB34&lt;0,BB47,BB49)</f>
        <v>66743000</v>
      </c>
      <c r="BC48" s="72">
        <f>IF(BC34&lt;0,BC47,BC49)</f>
        <v>0</v>
      </c>
      <c r="BD48" s="72">
        <f>IF(BD34&lt;0,BD47,BD49)</f>
        <v>67505000</v>
      </c>
      <c r="BF48" s="72">
        <v>66497000</v>
      </c>
      <c r="BG48" s="72">
        <v>67868000</v>
      </c>
      <c r="BH48" s="72">
        <v>67943000</v>
      </c>
      <c r="BI48" s="72">
        <v>66323000</v>
      </c>
      <c r="BJ48" s="72">
        <v>67918000</v>
      </c>
      <c r="BL48" s="72">
        <v>68403000</v>
      </c>
      <c r="BM48" s="72">
        <v>67096000</v>
      </c>
      <c r="BN48" s="72">
        <v>64784000</v>
      </c>
      <c r="BO48" s="72">
        <v>65126000</v>
      </c>
      <c r="BP48" s="72">
        <v>66352000</v>
      </c>
      <c r="BR48" s="72">
        <v>69605000</v>
      </c>
      <c r="BS48" s="72">
        <v>68042000</v>
      </c>
      <c r="BT48" s="72">
        <v>68190000</v>
      </c>
      <c r="BU48" s="72">
        <v>68283000</v>
      </c>
      <c r="BV48" s="72">
        <v>69560000</v>
      </c>
      <c r="BX48" s="72">
        <v>65570000</v>
      </c>
      <c r="BY48" s="72">
        <v>66010000</v>
      </c>
      <c r="BZ48" s="72">
        <v>66523000</v>
      </c>
      <c r="CA48" s="72">
        <v>67111000</v>
      </c>
      <c r="CB48" s="72">
        <f>AVERAGE(BX48:CA48)</f>
        <v>66303500</v>
      </c>
      <c r="CD48" s="72">
        <v>68906000</v>
      </c>
      <c r="CE48" s="72">
        <v>67684000</v>
      </c>
      <c r="CF48" s="72">
        <v>67473000</v>
      </c>
      <c r="CG48" s="72">
        <v>66977000</v>
      </c>
      <c r="CH48" s="72">
        <f>AVERAGE(CD48:CG48)</f>
        <v>67760000</v>
      </c>
      <c r="CJ48" s="72">
        <v>76935000</v>
      </c>
      <c r="CK48" s="72">
        <v>77448000</v>
      </c>
      <c r="CL48" s="72">
        <v>77398000</v>
      </c>
      <c r="CM48" s="72">
        <v>68299000</v>
      </c>
      <c r="CN48" s="72">
        <v>75020000</v>
      </c>
      <c r="CP48" s="94">
        <v>78672000</v>
      </c>
      <c r="CQ48" s="94">
        <v>79235000</v>
      </c>
      <c r="CR48" s="94">
        <v>81869000</v>
      </c>
      <c r="CS48" s="94">
        <v>78614000</v>
      </c>
      <c r="CT48" s="94">
        <v>78891000</v>
      </c>
      <c r="CX48" s="167"/>
      <c r="CZ48" s="94">
        <f>IF(CZ34&gt;0,CZ49,CZ47)</f>
        <v>66621000</v>
      </c>
      <c r="DA48" s="94">
        <f>IF(DA34&gt;0,DA49,DA47)</f>
        <v>66457500</v>
      </c>
      <c r="DB48" s="94">
        <f>IF(DB34&gt;0,DB49,DB47)</f>
        <v>67505000</v>
      </c>
      <c r="DC48" s="94">
        <f>IF(DC34&gt;0,DC49,DC47)</f>
        <v>0</v>
      </c>
      <c r="DD48" s="94">
        <f>IF(DD34&gt;0,DD49,DD47)</f>
        <v>67505000</v>
      </c>
      <c r="DF48" s="94">
        <f>AVERAGE(BF48)</f>
        <v>66497000</v>
      </c>
      <c r="DG48" s="94">
        <v>67628000</v>
      </c>
      <c r="DH48" s="94">
        <v>67733000</v>
      </c>
      <c r="DI48" s="150">
        <v>67918000</v>
      </c>
      <c r="DJ48" s="94">
        <f>+DI48</f>
        <v>67918000</v>
      </c>
      <c r="DL48" s="94">
        <f>AVERAGE(BL48)</f>
        <v>68403000</v>
      </c>
      <c r="DM48" s="150">
        <v>67750000</v>
      </c>
      <c r="DN48" s="150">
        <v>66761000</v>
      </c>
      <c r="DO48" s="150">
        <v>66352000</v>
      </c>
      <c r="DP48" s="94">
        <v>66352000</v>
      </c>
      <c r="DR48" s="94">
        <f>AVERAGE(BR48)</f>
        <v>69605000</v>
      </c>
      <c r="DS48" s="150">
        <v>69473000</v>
      </c>
      <c r="DT48" s="150">
        <v>68187000</v>
      </c>
      <c r="DU48" s="150">
        <v>68211000</v>
      </c>
      <c r="DV48" s="94">
        <f>+DU48</f>
        <v>68211000</v>
      </c>
      <c r="DX48" s="94">
        <f>AVERAGE(BX48)</f>
        <v>65570000</v>
      </c>
      <c r="DY48" s="94">
        <f>IF(BY48=0,0,ROUND(AVERAGE($BX48:BY48),0))</f>
        <v>65790000</v>
      </c>
      <c r="DZ48" s="94">
        <f>IF(BZ48=0,0,ROUND(AVERAGE($BX48:BZ48),0))</f>
        <v>66034333</v>
      </c>
      <c r="EA48" s="94">
        <f>IF(CA48=0,0,ROUND(AVERAGE($BX48:CA48),0))</f>
        <v>66303500</v>
      </c>
      <c r="EB48" s="94">
        <f>+EA48</f>
        <v>66303500</v>
      </c>
      <c r="ED48" s="94">
        <f>AVERAGE(CD48)</f>
        <v>68906000</v>
      </c>
      <c r="EE48" s="94">
        <f>IF(CE48=0,0,ROUND(AVERAGE($CD48:CE48),0))</f>
        <v>68295000</v>
      </c>
      <c r="EF48" s="94">
        <f>IF(CF48=0,0,ROUND(AVERAGE($CD48:CF48),0))</f>
        <v>68021000</v>
      </c>
      <c r="EG48" s="94">
        <f>IF(CG48=0,0,ROUND(AVERAGE($CD48:CG48),0))</f>
        <v>67760000</v>
      </c>
      <c r="EH48" s="94">
        <f>+EG48</f>
        <v>67760000</v>
      </c>
      <c r="EJ48" s="94">
        <f>AVERAGE(CJ48)</f>
        <v>76935000</v>
      </c>
      <c r="EK48" s="94">
        <f>IF(CK48=0,0,ROUND(AVERAGE($CJ48:CK48),0))</f>
        <v>77191500</v>
      </c>
      <c r="EL48" s="94">
        <f>IF(CL48=0,0,ROUND(AVERAGE($CJ48:CL48),0))</f>
        <v>77260333</v>
      </c>
      <c r="EM48" s="94">
        <f>IF(CM48=0,0,ROUND(AVERAGE($CJ48:CM48),0))</f>
        <v>75020000</v>
      </c>
      <c r="EN48" s="94">
        <f>+EM48</f>
        <v>75020000</v>
      </c>
      <c r="ES48" s="94">
        <v>78891000</v>
      </c>
      <c r="ET48" s="94">
        <f>+ES48</f>
        <v>78891000</v>
      </c>
    </row>
    <row r="49" spans="1:150" ht="32.5" customHeight="1" x14ac:dyDescent="0.25">
      <c r="A49" s="125" t="s">
        <v>200</v>
      </c>
      <c r="E49" s="149">
        <f>HLOOKUP(E$7,$AX$7:$CX$59,$AV49,FALSE)</f>
        <v>66743000</v>
      </c>
      <c r="G49" s="149">
        <f>HLOOKUP(G$7,$AX$7:$CX$59,$AV49,FALSE)</f>
        <v>67943000</v>
      </c>
      <c r="I49" s="149">
        <f>HLOOKUP(I$7,$AX$7:$CX$59,$AV49,FALSE)</f>
        <v>65356000</v>
      </c>
      <c r="K49" s="149">
        <f>HLOOKUP(K$7,$CX$7:$ET$59,$AV49,FALSE)</f>
        <v>67505000</v>
      </c>
      <c r="M49" s="149">
        <f>HLOOKUP(M$7,$CX$7:$ET$59,$AV49,FALSE)</f>
        <v>67733000</v>
      </c>
      <c r="O49" s="149">
        <f>HLOOKUP(O$7,$CX$7:$ET$59,$AV49,FALSE)</f>
        <v>67373000</v>
      </c>
      <c r="W49" s="151">
        <f>(+E49-G49)/G49</f>
        <v>-1.7661863620976406E-2</v>
      </c>
      <c r="Y49" s="151">
        <f>(+G49-I49)/I49</f>
        <v>3.9583205826549971E-2</v>
      </c>
      <c r="AV49" s="127">
        <f t="shared" si="3"/>
        <v>43</v>
      </c>
      <c r="AX49" s="172"/>
      <c r="AZ49" s="72">
        <v>68463000</v>
      </c>
      <c r="BA49" s="72">
        <v>67309000</v>
      </c>
      <c r="BB49" s="72">
        <v>66743000</v>
      </c>
      <c r="BC49" s="72">
        <v>0</v>
      </c>
      <c r="BD49" s="72">
        <f>+SUM(AZ49:BC49)/COUNTIF(AZ49:BC49,"&gt;0")</f>
        <v>67505000</v>
      </c>
      <c r="BF49" s="72">
        <v>67388000</v>
      </c>
      <c r="BG49" s="72">
        <v>67868000</v>
      </c>
      <c r="BH49" s="72">
        <v>67943000</v>
      </c>
      <c r="BI49" s="72">
        <v>68471000</v>
      </c>
      <c r="BJ49" s="72">
        <v>67918000</v>
      </c>
      <c r="BL49" s="72">
        <v>69195000</v>
      </c>
      <c r="BM49" s="72">
        <v>67568000</v>
      </c>
      <c r="BN49" s="72">
        <v>65356000</v>
      </c>
      <c r="BO49" s="72">
        <v>66268000</v>
      </c>
      <c r="BP49" s="72">
        <v>67097000</v>
      </c>
      <c r="CX49" s="167"/>
      <c r="CZ49" s="94">
        <f>AVERAGE(AZ49)</f>
        <v>68463000</v>
      </c>
      <c r="DA49" s="94">
        <f>IF(BA49=0,0,ROUND(AVERAGE($AZ49:BA49),0))</f>
        <v>67886000</v>
      </c>
      <c r="DB49" s="94">
        <f>IF(BB49=0,0,ROUND(AVERAGE($AZ49:BB49),0))</f>
        <v>67505000</v>
      </c>
      <c r="DC49" s="94">
        <f>IF(BC49=0,0,ROUND(AVERAGE($AZ49:BC49),0))</f>
        <v>0</v>
      </c>
      <c r="DD49" s="94">
        <f>+BD49</f>
        <v>67505000</v>
      </c>
      <c r="DF49" s="94">
        <f>AVERAGE(BF49)</f>
        <v>67388000</v>
      </c>
      <c r="DG49" s="94">
        <v>67628000</v>
      </c>
      <c r="DH49" s="94">
        <v>67733000</v>
      </c>
      <c r="DI49" s="150">
        <v>67918000</v>
      </c>
      <c r="DJ49" s="94">
        <f>+DI49</f>
        <v>67918000</v>
      </c>
      <c r="DL49" s="94">
        <v>69195000</v>
      </c>
      <c r="DM49" s="94">
        <v>68384000</v>
      </c>
      <c r="DN49" s="150">
        <v>67373000</v>
      </c>
      <c r="DO49" s="94">
        <v>67097000</v>
      </c>
      <c r="DP49" s="94">
        <v>67097000</v>
      </c>
    </row>
    <row r="50" spans="1:150" ht="15.75" customHeight="1" x14ac:dyDescent="0.25">
      <c r="A50" s="125" t="s">
        <v>201</v>
      </c>
      <c r="E50" s="149">
        <f>HLOOKUP(E$7,$AX$7:$CX$59,$AV50,FALSE)</f>
        <v>1112000</v>
      </c>
      <c r="G50" s="149">
        <f>HLOOKUP(G$7,$AX$7:$CX$59,$AV50,FALSE)</f>
        <v>1982000</v>
      </c>
      <c r="I50" s="149">
        <f>HLOOKUP(I$7,$AX$7:$CX$59,$AV50,FALSE)</f>
        <v>572000</v>
      </c>
      <c r="K50" s="149">
        <f>HLOOKUP(K$7,$CX$7:$ET$59,$AV50,FALSE)</f>
        <v>1323000</v>
      </c>
      <c r="M50" s="149">
        <f>HLOOKUP(M$7,$CX$7:$ET$59,$AV50,FALSE)</f>
        <v>1485667</v>
      </c>
      <c r="O50" s="149">
        <f>HLOOKUP(O$7,$CX$7:$ET$59,$AV50,FALSE)</f>
        <v>612000</v>
      </c>
      <c r="AV50" s="127">
        <f t="shared" si="3"/>
        <v>44</v>
      </c>
      <c r="AX50" s="172"/>
      <c r="AZ50" s="94">
        <f>+AZ49-AZ47</f>
        <v>1842000</v>
      </c>
      <c r="BA50" s="94">
        <f>+BA49-BA47</f>
        <v>1015000</v>
      </c>
      <c r="BB50" s="94">
        <f>+BB49-BB47</f>
        <v>1112000</v>
      </c>
      <c r="BC50" s="94">
        <f>+BC49-BC47</f>
        <v>0</v>
      </c>
      <c r="BD50" s="94">
        <f>+BD49-BD47</f>
        <v>1323000</v>
      </c>
      <c r="BF50" s="94">
        <f>+BF49-BF47</f>
        <v>891000</v>
      </c>
      <c r="BG50" s="94">
        <f>+BG49-BG47</f>
        <v>1584000</v>
      </c>
      <c r="BH50" s="94">
        <f>+BH49-BH47</f>
        <v>1982000</v>
      </c>
      <c r="BI50" s="94">
        <f>+BI49-BI47</f>
        <v>2148000</v>
      </c>
      <c r="BJ50" s="94">
        <f>+BJ49-BJ47</f>
        <v>1652000</v>
      </c>
      <c r="BL50" s="94">
        <f>+BL49-BL47</f>
        <v>792000</v>
      </c>
      <c r="BM50" s="94">
        <f>+BM49-BM47</f>
        <v>472000</v>
      </c>
      <c r="BN50" s="94">
        <f>+BN49-BN47</f>
        <v>572000</v>
      </c>
      <c r="BO50" s="94">
        <f>+BO49-BO47</f>
        <v>1142000</v>
      </c>
      <c r="BP50" s="94">
        <f>+BP49-BP47</f>
        <v>745000</v>
      </c>
      <c r="BR50" s="94">
        <f>+BR49-BR47</f>
        <v>-68328000</v>
      </c>
      <c r="BS50" s="94">
        <f>+BS49-BS47</f>
        <v>-68042000</v>
      </c>
      <c r="BT50" s="94">
        <f>+BT49-BT47</f>
        <v>-68190000</v>
      </c>
      <c r="BU50" s="94">
        <f>+BU49-BU47</f>
        <v>-68283000</v>
      </c>
      <c r="BV50" s="94">
        <f>+BV49-BV47</f>
        <v>-68211000</v>
      </c>
      <c r="BX50" s="94">
        <f>+BX49-BX47</f>
        <v>-65570000</v>
      </c>
      <c r="BY50" s="94">
        <f>+BY49-BY47</f>
        <v>-66010000</v>
      </c>
      <c r="BZ50" s="94">
        <f>+BZ49-BZ47</f>
        <v>-66523000</v>
      </c>
      <c r="CA50" s="94">
        <f>+CA49-CA47</f>
        <v>-67111000</v>
      </c>
      <c r="CB50" s="94">
        <f>+CB49-CB47</f>
        <v>-66303500</v>
      </c>
      <c r="CD50" s="94">
        <f>+CD49-CD47</f>
        <v>-68906000</v>
      </c>
      <c r="CE50" s="94">
        <f>+CE49-CE47</f>
        <v>-67684000</v>
      </c>
      <c r="CF50" s="94">
        <f>+CF49-CF47</f>
        <v>-67473000</v>
      </c>
      <c r="CG50" s="94">
        <f>+CG49-CG47</f>
        <v>-66977000</v>
      </c>
      <c r="CH50" s="94">
        <f>+CH49-CH47</f>
        <v>-67760000</v>
      </c>
      <c r="CJ50" s="94">
        <f>+CJ49-CJ47</f>
        <v>-76935000</v>
      </c>
      <c r="CK50" s="94">
        <f>+CK49-CK47</f>
        <v>-77448000</v>
      </c>
      <c r="CL50" s="94">
        <f>+CL49-CL47</f>
        <v>-77398000</v>
      </c>
      <c r="CM50" s="94">
        <f>+CM49-CM47</f>
        <v>-68299000</v>
      </c>
      <c r="CN50" s="94">
        <f>+CN49-CN47</f>
        <v>-75020000</v>
      </c>
      <c r="CP50" s="94">
        <f>+CP49-CP47</f>
        <v>-78672000</v>
      </c>
      <c r="CQ50" s="94">
        <f>+CQ49-CQ47</f>
        <v>-79235000</v>
      </c>
      <c r="CR50" s="94">
        <f>+CR49-CR47</f>
        <v>-79043000</v>
      </c>
      <c r="CS50" s="94">
        <f>+CS49-CS47</f>
        <v>-78614000</v>
      </c>
      <c r="CT50" s="94">
        <f>+CT49-CT47</f>
        <v>-78891000</v>
      </c>
      <c r="CX50" s="167"/>
      <c r="CZ50" s="94">
        <f>+CZ49-CZ47</f>
        <v>1842000</v>
      </c>
      <c r="DA50" s="94">
        <f>+DA49-DA47</f>
        <v>1428500</v>
      </c>
      <c r="DB50" s="94">
        <f>+DB49-DB47</f>
        <v>1323000</v>
      </c>
      <c r="DC50" s="94">
        <f>+DC49-DC47</f>
        <v>0</v>
      </c>
      <c r="DD50" s="94">
        <f>+DD49-DD47</f>
        <v>1323000</v>
      </c>
      <c r="DF50" s="94">
        <f>+DF49-DF47</f>
        <v>891000</v>
      </c>
      <c r="DG50" s="94">
        <f>+DG49-DG47</f>
        <v>1237500</v>
      </c>
      <c r="DH50" s="94">
        <f>+DH49-DH47</f>
        <v>1485667</v>
      </c>
      <c r="DI50" s="94">
        <f>+DI49-DI47</f>
        <v>1651750</v>
      </c>
      <c r="DJ50" s="94">
        <f>+DJ49-DJ47</f>
        <v>1651750</v>
      </c>
      <c r="DL50" s="94">
        <f>+DL49-DL47</f>
        <v>792000</v>
      </c>
      <c r="DM50" s="94">
        <f>+DM49-DM47</f>
        <v>634000</v>
      </c>
      <c r="DN50" s="94">
        <f>+DN49-DN47</f>
        <v>612000</v>
      </c>
      <c r="DO50" s="94">
        <f>+DO49-DO47</f>
        <v>744750</v>
      </c>
      <c r="DP50" s="94">
        <f>+DP49-DP47</f>
        <v>744750</v>
      </c>
    </row>
    <row r="51" spans="1:150" ht="15.75" customHeight="1" x14ac:dyDescent="0.25">
      <c r="A51" s="125" t="s">
        <v>202</v>
      </c>
      <c r="E51" s="149">
        <f>HLOOKUP(E$7,$AX$7:$CX$59,$AV51,FALSE)</f>
        <v>1112000</v>
      </c>
      <c r="G51" s="149">
        <f>HLOOKUP(G$7,$AX$7:$CX$59,$AV51,FALSE)</f>
        <v>1982000</v>
      </c>
      <c r="I51" s="149" t="str">
        <f>HLOOKUP(I$7,$AX$7:$CX$59,$AV51,FALSE)</f>
        <v>0</v>
      </c>
      <c r="K51" s="149">
        <f>HLOOKUP(K$7,$CX$7:$ET$59,$AV51,FALSE)</f>
        <v>1323000</v>
      </c>
      <c r="M51" s="149">
        <f>HLOOKUP(M$7,$CX$7:$ET$59,$AV51,FALSE)</f>
        <v>1485667</v>
      </c>
      <c r="O51" s="149" t="str">
        <f>HLOOKUP(O$7,$CX$7:$ET$59,$AV51,FALSE)</f>
        <v>0</v>
      </c>
      <c r="AV51" s="127">
        <f t="shared" si="3"/>
        <v>45</v>
      </c>
      <c r="AX51" s="172"/>
      <c r="AZ51" s="94" t="str">
        <f>IF(AZ34&gt;0,+AZ49-AZ47,"0")</f>
        <v>0</v>
      </c>
      <c r="BA51" s="94">
        <f>IF(BA34&gt;0,+BA49-BA47,"0")</f>
        <v>1015000</v>
      </c>
      <c r="BB51" s="94">
        <f>IF(BB34&gt;0,+BB49-BB47,"0")</f>
        <v>1112000</v>
      </c>
      <c r="BC51" s="94" t="str">
        <f>IF(BC34&gt;0,+BC49-BC47,"0")</f>
        <v>0</v>
      </c>
      <c r="BD51" s="94">
        <f>IF(BD34&gt;0,+BD49-BD47,"0")</f>
        <v>1323000</v>
      </c>
      <c r="BF51" s="94" t="str">
        <f>IF(BF34&gt;0,+BF49-BF47,"0")</f>
        <v>0</v>
      </c>
      <c r="BG51" s="94">
        <f>IF(BG34&gt;0,+BG49-BG47,"0")</f>
        <v>1584000</v>
      </c>
      <c r="BH51" s="94">
        <f>IF(BH34&gt;0,+BH49-BH47,"0")</f>
        <v>1982000</v>
      </c>
      <c r="BI51" s="94" t="str">
        <f>IF(BI34&gt;0,+BI49-BI47,"0")</f>
        <v>0</v>
      </c>
      <c r="BJ51" s="94">
        <f>IF(BJ34&gt;0,+BJ49-BJ47,"0")</f>
        <v>1652000</v>
      </c>
      <c r="BL51" s="94" t="str">
        <f>IF(BL34&gt;0,+BL49-BL47,"0")</f>
        <v>0</v>
      </c>
      <c r="BM51" s="94" t="str">
        <f>IF(BM34&gt;0,+BM49-BM47,"0")</f>
        <v>0</v>
      </c>
      <c r="BN51" s="94" t="str">
        <f>IF(BN34&gt;0,+BN49-BN47,"0")</f>
        <v>0</v>
      </c>
      <c r="BO51" s="94" t="str">
        <f>IF(BO34&gt;0,+BO49-BO47,"0")</f>
        <v>0</v>
      </c>
      <c r="BP51" s="94" t="str">
        <f>IF(BP34&gt;0,+BP49-BP47,"0")</f>
        <v>0</v>
      </c>
      <c r="CX51" s="167"/>
      <c r="CZ51" s="94" t="str">
        <f>IF(CZ34&gt;0,+CZ49-CZ47,"0")</f>
        <v>0</v>
      </c>
      <c r="DA51" s="94" t="str">
        <f>IF(DA34&gt;0,+DA49-DA47,"0")</f>
        <v>0</v>
      </c>
      <c r="DB51" s="94">
        <f>IF(DB34&gt;0,+DB49-DB47,"0")</f>
        <v>1323000</v>
      </c>
      <c r="DC51" s="94">
        <f>IF(DC34&gt;0,+DC49-DC47,"0")</f>
        <v>0</v>
      </c>
      <c r="DD51" s="94">
        <f>IF(DD34&gt;0,+DD49-DD47,"0")</f>
        <v>1323000</v>
      </c>
      <c r="DF51" s="94" t="str">
        <f>IF(DF34&gt;0,+DF49-DF47,"0")</f>
        <v>0</v>
      </c>
      <c r="DG51" s="94">
        <f>IF(DG34&gt;0,+DG49-DG47,"0")</f>
        <v>1237500</v>
      </c>
      <c r="DH51" s="94">
        <f>IF(DH34&gt;0,+DH49-DH47,"0")</f>
        <v>1485667</v>
      </c>
      <c r="DI51" s="94">
        <f>IF(DI34&gt;0,+DI49-DI47,"0")</f>
        <v>1651750</v>
      </c>
      <c r="DJ51" s="94">
        <f>IF(DJ34&gt;0,+DJ49-DJ47,"0")</f>
        <v>1651750</v>
      </c>
      <c r="DL51" s="94" t="str">
        <f>IF(DL34&gt;0,+DL49-DL47,"0")</f>
        <v>0</v>
      </c>
      <c r="DM51" s="94" t="str">
        <f>IF(DM34&gt;0,+DM49-DM47,"0")</f>
        <v>0</v>
      </c>
      <c r="DN51" s="94" t="str">
        <f>IF(DN34&gt;0,+DN49-DN47,"0")</f>
        <v>0</v>
      </c>
      <c r="DO51" s="94" t="str">
        <f>IF(DO34&gt;0,+DO49-DO47,"0")</f>
        <v>0</v>
      </c>
      <c r="DP51" s="94" t="str">
        <f>IF(DP34&gt;0,+DP49-DP47,"0")</f>
        <v>0</v>
      </c>
    </row>
    <row r="52" spans="1:150" ht="15.75" customHeight="1" x14ac:dyDescent="0.25">
      <c r="AV52" s="127">
        <f t="shared" si="3"/>
        <v>46</v>
      </c>
      <c r="AX52" s="172"/>
      <c r="CX52" s="167"/>
    </row>
    <row r="53" spans="1:150" ht="15.75" customHeight="1" x14ac:dyDescent="0.25">
      <c r="A53" s="147" t="s">
        <v>203</v>
      </c>
      <c r="E53" s="152">
        <f>IFERROR(+E29/ABS(E28),0)</f>
        <v>0.49096546562600235</v>
      </c>
      <c r="G53" s="152">
        <f>+G29/ABS(G28)</f>
        <v>0.38650953778429936</v>
      </c>
      <c r="I53" s="152">
        <f>+I29/ABS(I28)</f>
        <v>0.23637836742961313</v>
      </c>
      <c r="K53" s="152">
        <f>+K29/ABS(K28)</f>
        <v>0.87274386534171566</v>
      </c>
      <c r="M53" s="152">
        <f>+M29/ABS(M28)</f>
        <v>0.62656658862415648</v>
      </c>
      <c r="O53" s="152">
        <f>+O29/ABS(O28)</f>
        <v>0.15317412570950276</v>
      </c>
      <c r="Q53" s="125" t="str">
        <f>IF(E53&lt;0,"a negative","a positive")</f>
        <v>a positive</v>
      </c>
      <c r="S53" s="125" t="str">
        <f>IF(G53&lt;0,"a negative","a positive")</f>
        <v>a positive</v>
      </c>
      <c r="AV53" s="127">
        <f t="shared" si="3"/>
        <v>47</v>
      </c>
      <c r="AX53" s="172"/>
      <c r="CX53" s="167"/>
    </row>
    <row r="54" spans="1:150" ht="23.25" customHeight="1" x14ac:dyDescent="0.25">
      <c r="AV54" s="127">
        <f t="shared" si="3"/>
        <v>48</v>
      </c>
      <c r="AX54" s="172"/>
      <c r="CD54" s="388" t="s">
        <v>204</v>
      </c>
      <c r="CE54" s="362"/>
      <c r="CF54" s="362"/>
      <c r="CG54" s="362"/>
      <c r="CH54" s="362"/>
      <c r="CX54" s="167"/>
    </row>
    <row r="55" spans="1:150" ht="16.649999999999999" customHeight="1" x14ac:dyDescent="0.25">
      <c r="A55" s="384" t="s">
        <v>205</v>
      </c>
      <c r="B55" s="384"/>
      <c r="C55" s="384"/>
      <c r="AV55" s="127">
        <f t="shared" si="3"/>
        <v>49</v>
      </c>
      <c r="AX55" s="172"/>
      <c r="CX55" s="167"/>
    </row>
    <row r="56" spans="1:150" ht="15.75" customHeight="1" x14ac:dyDescent="0.25">
      <c r="A56" s="154" t="s">
        <v>206</v>
      </c>
      <c r="B56" s="178"/>
      <c r="C56" s="163"/>
      <c r="E56" s="149">
        <f>HLOOKUP(E$7,$AX$7:$CX$80,$AV56,FALSE)</f>
        <v>145585000</v>
      </c>
      <c r="G56" s="149">
        <f>HLOOKUP(G$7,$AX$7:$CX$80,$AV56,FALSE)</f>
        <v>132351000</v>
      </c>
      <c r="I56" s="149">
        <f>HLOOKUP(I$7,$AX$7:$CX$80,$AV56,FALSE)</f>
        <v>126427000</v>
      </c>
      <c r="K56" s="149">
        <f>HLOOKUP(K$7,$CX$7:$ET$80,$AV56,FALSE)</f>
        <v>423667000</v>
      </c>
      <c r="M56" s="149">
        <f>HLOOKUP(M$7,$CX$7:$ET$80,$AV56,FALSE)</f>
        <v>379938000</v>
      </c>
      <c r="O56" s="149">
        <f>HLOOKUP(O$7,$CX$7:$ET$80,$AV56,FALSE)</f>
        <v>361862000</v>
      </c>
      <c r="AV56" s="127">
        <f t="shared" si="3"/>
        <v>50</v>
      </c>
      <c r="AX56" s="172"/>
      <c r="AZ56" s="94">
        <v>134793000</v>
      </c>
      <c r="BA56" s="94">
        <v>143289000</v>
      </c>
      <c r="BB56" s="94">
        <v>145585000</v>
      </c>
      <c r="BD56" s="94">
        <f>SUM(AZ56:BC56)</f>
        <v>423667000</v>
      </c>
      <c r="BF56" s="94">
        <v>121882000</v>
      </c>
      <c r="BG56" s="94">
        <v>125705000</v>
      </c>
      <c r="BH56" s="94">
        <v>132351000</v>
      </c>
      <c r="BI56" s="94">
        <v>133703000</v>
      </c>
      <c r="BJ56" s="94">
        <f>SUM(BF56:BI56)</f>
        <v>513641000</v>
      </c>
      <c r="BL56" s="94">
        <v>115733000</v>
      </c>
      <c r="BM56" s="94">
        <v>119702000</v>
      </c>
      <c r="BN56" s="94">
        <v>126427000</v>
      </c>
      <c r="BO56" s="94">
        <v>120945000</v>
      </c>
      <c r="BP56" s="94">
        <f>SUM(BL56:BO56)</f>
        <v>482807000</v>
      </c>
      <c r="BR56" s="94">
        <v>96510000</v>
      </c>
      <c r="BS56" s="94">
        <v>105420000</v>
      </c>
      <c r="BT56" s="94">
        <v>111116000</v>
      </c>
      <c r="BU56" s="94">
        <v>115571000</v>
      </c>
      <c r="BV56" s="94">
        <f>SUM(BR56:BU56)</f>
        <v>428617000</v>
      </c>
      <c r="BX56" s="94">
        <v>82915000</v>
      </c>
      <c r="BY56" s="94">
        <v>85784000</v>
      </c>
      <c r="BZ56" s="94">
        <v>93431000</v>
      </c>
      <c r="CA56" s="94">
        <v>94467000</v>
      </c>
      <c r="CB56" s="94">
        <f>SUM(BX56:CA56)</f>
        <v>356597000</v>
      </c>
      <c r="CD56" s="94">
        <v>68326000</v>
      </c>
      <c r="CE56" s="94">
        <v>71967000</v>
      </c>
      <c r="CF56" s="94">
        <v>81554000</v>
      </c>
      <c r="CG56" s="94">
        <v>83832000</v>
      </c>
      <c r="CH56" s="94">
        <f>SUM(CD56:CG56)</f>
        <v>305679000</v>
      </c>
      <c r="CJ56" s="94">
        <v>51329000</v>
      </c>
      <c r="CK56" s="94">
        <v>54852000</v>
      </c>
      <c r="CL56" s="94">
        <v>65003000</v>
      </c>
      <c r="CM56" s="94">
        <v>65534000</v>
      </c>
      <c r="CN56" s="94">
        <f>SUM(CJ56:CM56)</f>
        <v>236718000</v>
      </c>
      <c r="CP56" s="94">
        <v>37076000</v>
      </c>
      <c r="CQ56" s="94">
        <v>42292000</v>
      </c>
      <c r="CR56" s="94">
        <v>45789000</v>
      </c>
      <c r="CS56" s="94">
        <v>46922000</v>
      </c>
      <c r="CT56" s="94">
        <v>172079000</v>
      </c>
      <c r="CX56" s="167"/>
      <c r="CZ56" s="71">
        <f>+AZ56</f>
        <v>134793000</v>
      </c>
      <c r="DA56" s="71">
        <f>SUM($AZ56:BA56)</f>
        <v>278082000</v>
      </c>
      <c r="DB56" s="71">
        <f>SUM($AZ56:BB56)</f>
        <v>423667000</v>
      </c>
      <c r="DC56" s="71">
        <f>SUM($AZ56:BC56)</f>
        <v>423667000</v>
      </c>
      <c r="DD56" s="71">
        <f>+DC56</f>
        <v>423667000</v>
      </c>
      <c r="DF56" s="71">
        <f>+BF56</f>
        <v>121882000</v>
      </c>
      <c r="DG56" s="71">
        <f>SUM($BF56:BG56)</f>
        <v>247587000</v>
      </c>
      <c r="DH56" s="71">
        <f>SUM($BF56:BH56)</f>
        <v>379938000</v>
      </c>
      <c r="DI56" s="71">
        <f>SUM($BF56:BI56)</f>
        <v>513641000</v>
      </c>
      <c r="DJ56" s="71">
        <f>+DI56</f>
        <v>513641000</v>
      </c>
      <c r="DL56" s="71">
        <f>+BL56</f>
        <v>115733000</v>
      </c>
      <c r="DM56" s="71">
        <f>SUM($BL56:BM56)</f>
        <v>235435000</v>
      </c>
      <c r="DN56" s="71">
        <f>SUM($BL56:BN56)</f>
        <v>361862000</v>
      </c>
      <c r="DO56" s="71">
        <f>SUM($BL56:BO56)</f>
        <v>482807000</v>
      </c>
      <c r="DP56" s="71">
        <f>+DO56</f>
        <v>482807000</v>
      </c>
      <c r="DR56" s="71">
        <f>+BR56</f>
        <v>96510000</v>
      </c>
      <c r="DS56" s="71">
        <f>SUM($BR56:BS56)</f>
        <v>201930000</v>
      </c>
      <c r="DT56" s="71">
        <f>SUM($BR56:BT56)</f>
        <v>313046000</v>
      </c>
      <c r="DU56" s="71">
        <f>SUM($BR56:BU56)</f>
        <v>428617000</v>
      </c>
      <c r="DV56" s="71">
        <f>+DU56</f>
        <v>428617000</v>
      </c>
      <c r="DX56" s="71">
        <f>+BX56</f>
        <v>82915000</v>
      </c>
      <c r="DY56" s="71">
        <f>SUM($BX56:BY56)</f>
        <v>168699000</v>
      </c>
      <c r="DZ56" s="71">
        <f>SUM($BX56:BZ56)</f>
        <v>262130000</v>
      </c>
      <c r="EA56" s="71">
        <f>SUM($BX56:CA56)</f>
        <v>356597000</v>
      </c>
      <c r="EB56" s="71">
        <f>+EA56</f>
        <v>356597000</v>
      </c>
      <c r="ED56" s="71">
        <f>+CD56</f>
        <v>68326000</v>
      </c>
      <c r="EE56" s="71">
        <f>SUM($CD56:CE56)</f>
        <v>140293000</v>
      </c>
      <c r="EF56" s="71">
        <f>SUM($CD56:CF56)</f>
        <v>221847000</v>
      </c>
      <c r="EG56" s="71">
        <f>SUM($CD56:CG56)</f>
        <v>305679000</v>
      </c>
      <c r="EH56" s="71">
        <f>+EG56</f>
        <v>305679000</v>
      </c>
      <c r="EJ56" s="71">
        <f>+CJ56</f>
        <v>51329000</v>
      </c>
      <c r="EK56" s="71">
        <f>SUM($CJ56:CK56)</f>
        <v>106181000</v>
      </c>
      <c r="EL56" s="71">
        <f>SUM($CJ56:CL56)</f>
        <v>171184000</v>
      </c>
      <c r="EM56" s="71">
        <f>SUM($CJ56:CM56)</f>
        <v>236718000</v>
      </c>
      <c r="EN56" s="71">
        <f>+EM56</f>
        <v>236718000</v>
      </c>
      <c r="EP56" s="71">
        <f>+CP56</f>
        <v>37076000</v>
      </c>
      <c r="EQ56" s="71">
        <f>SUM($CP56:CQ56)</f>
        <v>79368000</v>
      </c>
      <c r="ER56" s="71">
        <f>SUM($CP56:CR56)</f>
        <v>125157000</v>
      </c>
      <c r="ES56" s="71">
        <f>SUM($CP56:CS56)</f>
        <v>172079000</v>
      </c>
      <c r="ET56" s="71">
        <f>+ES56</f>
        <v>172079000</v>
      </c>
    </row>
    <row r="57" spans="1:150" ht="15.75" customHeight="1" x14ac:dyDescent="0.25">
      <c r="A57" s="155" t="s">
        <v>207</v>
      </c>
      <c r="E57" s="156">
        <f>HLOOKUP(E$7,$AX$7:$CX$80,$AV57,FALSE)</f>
        <v>49827000</v>
      </c>
      <c r="G57" s="156">
        <f>HLOOKUP(G$7,$AX$7:$CX$80,$AV57,FALSE)</f>
        <v>41518000</v>
      </c>
      <c r="I57" s="156">
        <f>HLOOKUP(I$7,$AX$7:$CX$80,$AV57,FALSE)</f>
        <v>32188000</v>
      </c>
      <c r="K57" s="156">
        <f>HLOOKUP(K$7,$CX$7:$ET$80,$AV57,FALSE)</f>
        <v>133189000</v>
      </c>
      <c r="M57" s="156">
        <f>HLOOKUP(M$7,$CX$7:$ET$80,$AV57,FALSE)</f>
        <v>107871000</v>
      </c>
      <c r="O57" s="156">
        <f>HLOOKUP(O$7,$CX$7:$ET$80,$AV57,FALSE)</f>
        <v>86095000</v>
      </c>
      <c r="AV57" s="127">
        <f t="shared" si="3"/>
        <v>51</v>
      </c>
      <c r="AX57" s="172"/>
      <c r="AZ57" s="157">
        <v>41168000</v>
      </c>
      <c r="BA57" s="157">
        <v>42194000</v>
      </c>
      <c r="BB57" s="157">
        <v>49827000</v>
      </c>
      <c r="BD57" s="157">
        <f>SUM(AZ57:BC57)</f>
        <v>133189000</v>
      </c>
      <c r="BF57" s="157">
        <v>32187000</v>
      </c>
      <c r="BG57" s="157">
        <v>34166000</v>
      </c>
      <c r="BH57" s="157">
        <v>41518000</v>
      </c>
      <c r="BI57" s="157">
        <v>38149000</v>
      </c>
      <c r="BJ57" s="157">
        <f>SUM(BF57:BI57)</f>
        <v>146020000</v>
      </c>
      <c r="BL57" s="157">
        <v>26510000</v>
      </c>
      <c r="BM57" s="157">
        <v>27397000</v>
      </c>
      <c r="BN57" s="157">
        <v>32188000</v>
      </c>
      <c r="BO57" s="157">
        <v>27681000</v>
      </c>
      <c r="BP57" s="157">
        <f>SUM(BL57:BO57)</f>
        <v>113776000</v>
      </c>
      <c r="BR57" s="157">
        <v>22528000</v>
      </c>
      <c r="BS57" s="157">
        <v>21870000</v>
      </c>
      <c r="BT57" s="157">
        <v>29488000</v>
      </c>
      <c r="BU57" s="157">
        <v>26154000</v>
      </c>
      <c r="BV57" s="157">
        <f>SUM(BR57:BU57)</f>
        <v>100040000</v>
      </c>
      <c r="BX57" s="157">
        <v>16522000</v>
      </c>
      <c r="BY57" s="157">
        <v>18877000</v>
      </c>
      <c r="BZ57" s="157">
        <v>26322000</v>
      </c>
      <c r="CA57" s="157">
        <v>24708000</v>
      </c>
      <c r="CB57" s="157">
        <f>SUM(BX57:CA57)</f>
        <v>86429000</v>
      </c>
      <c r="CD57" s="157">
        <v>14185000</v>
      </c>
      <c r="CE57" s="157">
        <v>18176000</v>
      </c>
      <c r="CF57" s="157">
        <v>20663000</v>
      </c>
      <c r="CG57" s="157">
        <v>21869000</v>
      </c>
      <c r="CH57" s="157">
        <f>SUM(CD57:CG57)</f>
        <v>74893000</v>
      </c>
      <c r="CJ57" s="157">
        <v>11142000</v>
      </c>
      <c r="CK57" s="157">
        <v>9960000</v>
      </c>
      <c r="CL57" s="157">
        <v>15018000</v>
      </c>
      <c r="CM57" s="157">
        <v>12782000</v>
      </c>
      <c r="CN57" s="157">
        <f>SUM(CJ57:CM57)</f>
        <v>48902000</v>
      </c>
      <c r="CP57" s="157">
        <v>9681000</v>
      </c>
      <c r="CQ57" s="157">
        <v>11721000</v>
      </c>
      <c r="CR57" s="157">
        <v>13332000</v>
      </c>
      <c r="CS57" s="157">
        <v>13288000</v>
      </c>
      <c r="CT57" s="157">
        <v>48022000</v>
      </c>
      <c r="CX57" s="167"/>
      <c r="CZ57" s="129">
        <f>+AZ57</f>
        <v>41168000</v>
      </c>
      <c r="DA57" s="129">
        <f>SUM($AZ57:BA57)</f>
        <v>83362000</v>
      </c>
      <c r="DB57" s="129">
        <f>SUM($AZ57:BB57)</f>
        <v>133189000</v>
      </c>
      <c r="DC57" s="129">
        <f>SUM($AZ57:BC57)</f>
        <v>133189000</v>
      </c>
      <c r="DD57" s="129">
        <f>+DC57</f>
        <v>133189000</v>
      </c>
      <c r="DF57" s="129">
        <f>+BF57</f>
        <v>32187000</v>
      </c>
      <c r="DG57" s="129">
        <f>SUM($BF57:BG57)</f>
        <v>66353000</v>
      </c>
      <c r="DH57" s="129">
        <f>SUM($BF57:BH57)</f>
        <v>107871000</v>
      </c>
      <c r="DI57" s="129">
        <f>SUM($BF57:BI57)</f>
        <v>146020000</v>
      </c>
      <c r="DJ57" s="129">
        <f>+DI57</f>
        <v>146020000</v>
      </c>
      <c r="DL57" s="129">
        <f>+BL57</f>
        <v>26510000</v>
      </c>
      <c r="DM57" s="129">
        <f>SUM($BL57:BM57)</f>
        <v>53907000</v>
      </c>
      <c r="DN57" s="129">
        <f>SUM($BL57:BN57)</f>
        <v>86095000</v>
      </c>
      <c r="DO57" s="129">
        <f>SUM($BL57:BO57)</f>
        <v>113776000</v>
      </c>
      <c r="DP57" s="129">
        <f>+DO57</f>
        <v>113776000</v>
      </c>
      <c r="DR57" s="129">
        <f>+BR57</f>
        <v>22528000</v>
      </c>
      <c r="DS57" s="129">
        <f>SUM($BR57:BS57)</f>
        <v>44398000</v>
      </c>
      <c r="DT57" s="129">
        <f>SUM($BR57:BT57)</f>
        <v>73886000</v>
      </c>
      <c r="DU57" s="129">
        <f>SUM($BR57:BU57)</f>
        <v>100040000</v>
      </c>
      <c r="DV57" s="129">
        <f>+DU57</f>
        <v>100040000</v>
      </c>
      <c r="DX57" s="129">
        <f>+BX57</f>
        <v>16522000</v>
      </c>
      <c r="DY57" s="129">
        <f>SUM($BX57:BY57)</f>
        <v>35399000</v>
      </c>
      <c r="DZ57" s="129">
        <f>SUM($BX57:BZ57)</f>
        <v>61721000</v>
      </c>
      <c r="EA57" s="129">
        <f>SUM($BX57:CA57)</f>
        <v>86429000</v>
      </c>
      <c r="EB57" s="129">
        <f>+EA57</f>
        <v>86429000</v>
      </c>
      <c r="ED57" s="129">
        <f>+CD57</f>
        <v>14185000</v>
      </c>
      <c r="EE57" s="129">
        <f>SUM($CD57:CE57)</f>
        <v>32361000</v>
      </c>
      <c r="EF57" s="129">
        <f>SUM($CD57:CF57)</f>
        <v>53024000</v>
      </c>
      <c r="EG57" s="129">
        <f>SUM($CD57:CG57)</f>
        <v>74893000</v>
      </c>
      <c r="EH57" s="129">
        <f>+EG57</f>
        <v>74893000</v>
      </c>
      <c r="EJ57" s="129">
        <f>+CJ57</f>
        <v>11142000</v>
      </c>
      <c r="EK57" s="129">
        <f>SUM($CJ57:CK57)</f>
        <v>21102000</v>
      </c>
      <c r="EL57" s="129">
        <f>SUM($CJ57:CL57)</f>
        <v>36120000</v>
      </c>
      <c r="EM57" s="129">
        <f>SUM($CJ57:CM57)</f>
        <v>48902000</v>
      </c>
      <c r="EN57" s="129">
        <f>+EM57</f>
        <v>48902000</v>
      </c>
      <c r="EP57" s="129">
        <f>+CP57</f>
        <v>9681000</v>
      </c>
      <c r="EQ57" s="129">
        <f>SUM($CP57:CQ57)</f>
        <v>21402000</v>
      </c>
      <c r="ER57" s="129">
        <f>SUM($CP57:CR57)</f>
        <v>34734000</v>
      </c>
      <c r="ES57" s="129">
        <f>SUM($CP57:CS57)</f>
        <v>48022000</v>
      </c>
      <c r="ET57" s="129">
        <f>+ES57</f>
        <v>48022000</v>
      </c>
    </row>
    <row r="58" spans="1:150" ht="15.75" customHeight="1" x14ac:dyDescent="0.25">
      <c r="A58" s="147" t="s">
        <v>208</v>
      </c>
      <c r="E58" s="158">
        <f>SUM(E56:E57)</f>
        <v>195412000</v>
      </c>
      <c r="F58" s="179"/>
      <c r="G58" s="158">
        <f>SUM(G56:G57)</f>
        <v>173869000</v>
      </c>
      <c r="H58" s="179"/>
      <c r="I58" s="158">
        <f>SUM(I56:I57)</f>
        <v>158615000</v>
      </c>
      <c r="K58" s="158">
        <f>SUM(K56:K57)</f>
        <v>556856000</v>
      </c>
      <c r="L58" s="179"/>
      <c r="M58" s="158">
        <f>SUM(M56:M57)</f>
        <v>487809000</v>
      </c>
      <c r="N58" s="179"/>
      <c r="O58" s="158">
        <f>SUM(O56:O57)</f>
        <v>447957000</v>
      </c>
      <c r="AV58" s="127">
        <f t="shared" si="3"/>
        <v>52</v>
      </c>
      <c r="AX58" s="172"/>
      <c r="AZ58" s="159">
        <f>SUM(AZ56:AZ57)</f>
        <v>175961000</v>
      </c>
      <c r="BA58" s="159">
        <f>SUM(BA56:BA57)</f>
        <v>185483000</v>
      </c>
      <c r="BB58" s="159">
        <f>SUM(BB56:BB57)</f>
        <v>195412000</v>
      </c>
      <c r="BC58" s="159">
        <f>SUM(BC56:BC57)</f>
        <v>0</v>
      </c>
      <c r="BD58" s="159">
        <f>SUM(BD56:BD57)</f>
        <v>556856000</v>
      </c>
      <c r="BF58" s="159">
        <f>SUM(BF56:BF57)</f>
        <v>154069000</v>
      </c>
      <c r="BG58" s="159">
        <f>SUM(BG56:BG57)</f>
        <v>159871000</v>
      </c>
      <c r="BH58" s="159">
        <f>SUM(BH56:BH57)</f>
        <v>173869000</v>
      </c>
      <c r="BI58" s="159">
        <f>SUM(BI56:BI57)</f>
        <v>171852000</v>
      </c>
      <c r="BJ58" s="159">
        <f>SUM(BJ56:BJ57)</f>
        <v>659661000</v>
      </c>
      <c r="BL58" s="159">
        <f>SUM(BL56:BL57)</f>
        <v>142243000</v>
      </c>
      <c r="BM58" s="159">
        <f>SUM(BM56:BM57)</f>
        <v>147099000</v>
      </c>
      <c r="BN58" s="159">
        <f>SUM(BN56:BN57)</f>
        <v>158615000</v>
      </c>
      <c r="BO58" s="159">
        <f>SUM(BO56:BO57)</f>
        <v>148626000</v>
      </c>
      <c r="BP58" s="159">
        <f>SUM(BP56:BP57)</f>
        <v>596583000</v>
      </c>
      <c r="BR58" s="159">
        <f>SUM(BR56:BR57)</f>
        <v>119038000</v>
      </c>
      <c r="BS58" s="159">
        <f>SUM(BS56:BS57)</f>
        <v>127290000</v>
      </c>
      <c r="BT58" s="159">
        <f>SUM(BT56:BT57)</f>
        <v>140604000</v>
      </c>
      <c r="BU58" s="159">
        <f>SUM(BU56:BU57)</f>
        <v>141725000</v>
      </c>
      <c r="BV58" s="159">
        <f>SUM(BV56:BV57)</f>
        <v>528657000</v>
      </c>
      <c r="BX58" s="159">
        <f>SUM(BX56:BX57)</f>
        <v>99437000</v>
      </c>
      <c r="BY58" s="159">
        <f>SUM(BY56:BY57)</f>
        <v>104661000</v>
      </c>
      <c r="BZ58" s="159">
        <f>SUM(BZ56:BZ57)</f>
        <v>119753000</v>
      </c>
      <c r="CA58" s="159">
        <f>SUM(CA56:CA57)</f>
        <v>119175000</v>
      </c>
      <c r="CB58" s="159">
        <f>SUM(CB56:CB57)</f>
        <v>443026000</v>
      </c>
      <c r="CD58" s="159">
        <f>SUM(CD56:CD57)</f>
        <v>82511000</v>
      </c>
      <c r="CE58" s="159">
        <f>SUM(CE56:CE57)</f>
        <v>90143000</v>
      </c>
      <c r="CF58" s="159">
        <f>SUM(CF56:CF57)</f>
        <v>102217000</v>
      </c>
      <c r="CG58" s="159">
        <f>SUM(CG56:CG57)</f>
        <v>105701000</v>
      </c>
      <c r="CH58" s="159">
        <f>SUM(CH56:CH57)</f>
        <v>380572000</v>
      </c>
      <c r="CJ58" s="159">
        <f>SUM(CJ56:CJ57)</f>
        <v>62471000</v>
      </c>
      <c r="CK58" s="159">
        <f>SUM(CK56:CK57)</f>
        <v>64812000</v>
      </c>
      <c r="CL58" s="159">
        <f>SUM(CL56:CL57)</f>
        <v>80021000</v>
      </c>
      <c r="CM58" s="159">
        <f>SUM(CM56:CM57)</f>
        <v>78316000</v>
      </c>
      <c r="CN58" s="159">
        <f>SUM(CN56:CN57)</f>
        <v>285620000</v>
      </c>
      <c r="CP58" s="159">
        <f>SUM(CP56:CP57)</f>
        <v>46757000</v>
      </c>
      <c r="CQ58" s="159">
        <f>SUM(CQ56:CQ57)</f>
        <v>54013000</v>
      </c>
      <c r="CR58" s="159">
        <f>SUM(CR56:CR57)</f>
        <v>59121000</v>
      </c>
      <c r="CS58" s="159">
        <f>SUM(CS56:CS57)</f>
        <v>60210000</v>
      </c>
      <c r="CT58" s="159">
        <f>SUM(CT56:CT57)</f>
        <v>220101000</v>
      </c>
      <c r="CV58" s="180"/>
      <c r="CX58" s="167"/>
      <c r="CZ58" s="159">
        <f>SUM(CZ56:CZ57)</f>
        <v>175961000</v>
      </c>
      <c r="DA58" s="159">
        <f>SUM(DA56:DA57)</f>
        <v>361444000</v>
      </c>
      <c r="DB58" s="159">
        <f>SUM(DB56:DB57)</f>
        <v>556856000</v>
      </c>
      <c r="DC58" s="159">
        <f>SUM(DC56:DC57)</f>
        <v>556856000</v>
      </c>
      <c r="DD58" s="159">
        <f>SUM(DD56:DD57)</f>
        <v>556856000</v>
      </c>
      <c r="DF58" s="159">
        <f>SUM(DF56:DF57)</f>
        <v>154069000</v>
      </c>
      <c r="DG58" s="159">
        <f>SUM(DG56:DG57)</f>
        <v>313940000</v>
      </c>
      <c r="DH58" s="159">
        <f>SUM(DH56:DH57)</f>
        <v>487809000</v>
      </c>
      <c r="DI58" s="159">
        <f>SUM(DI56:DI57)</f>
        <v>659661000</v>
      </c>
      <c r="DJ58" s="159">
        <f>SUM(DJ56:DJ57)</f>
        <v>659661000</v>
      </c>
      <c r="DL58" s="159">
        <f>SUM(DL56:DL57)</f>
        <v>142243000</v>
      </c>
      <c r="DM58" s="159">
        <f>SUM(DM56:DM57)</f>
        <v>289342000</v>
      </c>
      <c r="DN58" s="159">
        <f>SUM(DN56:DN57)</f>
        <v>447957000</v>
      </c>
      <c r="DO58" s="159">
        <f>SUM(DO56:DO57)</f>
        <v>596583000</v>
      </c>
      <c r="DP58" s="159">
        <f>SUM(DP56:DP57)</f>
        <v>596583000</v>
      </c>
      <c r="DR58" s="159">
        <f>SUM(DR56:DR57)</f>
        <v>119038000</v>
      </c>
      <c r="DS58" s="159">
        <f>SUM(DS56:DS57)</f>
        <v>246328000</v>
      </c>
      <c r="DT58" s="159">
        <f>SUM(DT56:DT57)</f>
        <v>386932000</v>
      </c>
      <c r="DU58" s="159">
        <f>SUM(DU56:DU57)</f>
        <v>528657000</v>
      </c>
      <c r="DV58" s="159">
        <f>SUM(DV56:DV57)</f>
        <v>528657000</v>
      </c>
      <c r="DX58" s="159">
        <f>SUM(DX56:DX57)</f>
        <v>99437000</v>
      </c>
      <c r="DY58" s="159">
        <f>SUM(DY56:DY57)</f>
        <v>204098000</v>
      </c>
      <c r="DZ58" s="159">
        <f>SUM(DZ56:DZ57)</f>
        <v>323851000</v>
      </c>
      <c r="EA58" s="159">
        <f>SUM(EA56:EA57)</f>
        <v>443026000</v>
      </c>
      <c r="EB58" s="159">
        <f>SUM(EB56:EB57)</f>
        <v>443026000</v>
      </c>
      <c r="ED58" s="159">
        <f>SUM(ED56:ED57)</f>
        <v>82511000</v>
      </c>
      <c r="EE58" s="159">
        <f>SUM(EE56:EE57)</f>
        <v>172654000</v>
      </c>
      <c r="EF58" s="159">
        <f>SUM(EF56:EF57)</f>
        <v>274871000</v>
      </c>
      <c r="EG58" s="159">
        <f>SUM(EG56:EG57)</f>
        <v>380572000</v>
      </c>
      <c r="EH58" s="159">
        <f>SUM(EH56:EH57)</f>
        <v>380572000</v>
      </c>
      <c r="EJ58" s="159">
        <f>SUM(EJ56:EJ57)</f>
        <v>62471000</v>
      </c>
      <c r="EK58" s="159">
        <f>SUM(EK56:EK57)</f>
        <v>127283000</v>
      </c>
      <c r="EL58" s="159">
        <f>SUM(EL56:EL57)</f>
        <v>207304000</v>
      </c>
      <c r="EM58" s="159">
        <f>SUM(EM56:EM57)</f>
        <v>285620000</v>
      </c>
      <c r="EN58" s="159">
        <f>SUM(EN56:EN57)</f>
        <v>285620000</v>
      </c>
      <c r="EP58" s="159">
        <f>SUM(EP56:EP57)</f>
        <v>46757000</v>
      </c>
      <c r="EQ58" s="159">
        <f>SUM(EQ56:EQ57)</f>
        <v>100770000</v>
      </c>
      <c r="ER58" s="159">
        <f>SUM(ER56:ER57)</f>
        <v>159891000</v>
      </c>
      <c r="ES58" s="159">
        <f>SUM(ES56:ES57)</f>
        <v>220101000</v>
      </c>
      <c r="ET58" s="159">
        <f>SUM(ET56:ET57)</f>
        <v>220101000</v>
      </c>
    </row>
    <row r="59" spans="1:150" ht="15.75" customHeight="1" x14ac:dyDescent="0.25">
      <c r="A59" s="385" t="s">
        <v>209</v>
      </c>
      <c r="B59" s="362"/>
      <c r="E59" s="160">
        <f>+E58-E$9</f>
        <v>0</v>
      </c>
      <c r="F59" s="181"/>
      <c r="G59" s="160">
        <f>+G58-G$9</f>
        <v>0</v>
      </c>
      <c r="H59" s="181"/>
      <c r="I59" s="160">
        <f>+I58-I$9</f>
        <v>0</v>
      </c>
      <c r="J59" s="181"/>
      <c r="K59" s="160">
        <f>+K58-K$9</f>
        <v>0</v>
      </c>
      <c r="L59" s="181"/>
      <c r="M59" s="160">
        <f>+M58-M$9</f>
        <v>0</v>
      </c>
      <c r="N59" s="181"/>
      <c r="O59" s="160">
        <f>+O58-O$9</f>
        <v>0</v>
      </c>
      <c r="AV59" s="127">
        <f t="shared" si="3"/>
        <v>53</v>
      </c>
      <c r="AX59" s="172"/>
      <c r="AZ59" s="160">
        <f>+AZ58-AZ$9</f>
        <v>0</v>
      </c>
      <c r="BA59" s="160">
        <f>+BA58-BA$9</f>
        <v>0</v>
      </c>
      <c r="BB59" s="160">
        <f>+BB58-BB$9</f>
        <v>0</v>
      </c>
      <c r="BC59" s="160">
        <f>+BC58-BC$9</f>
        <v>0</v>
      </c>
      <c r="BD59" s="160">
        <f>+BD58-BD$9</f>
        <v>0</v>
      </c>
      <c r="BF59" s="160">
        <f>+BF58-BF$9</f>
        <v>0</v>
      </c>
      <c r="BG59" s="160">
        <f>+BG58-BG$9</f>
        <v>0</v>
      </c>
      <c r="BH59" s="160">
        <f>+BH58-BH$9</f>
        <v>0</v>
      </c>
      <c r="BI59" s="160">
        <f>+BI58-BI$9</f>
        <v>0</v>
      </c>
      <c r="BJ59" s="160">
        <f>+BJ58-BJ$9</f>
        <v>0</v>
      </c>
      <c r="BL59" s="160">
        <f>+BL58-BL$9</f>
        <v>0</v>
      </c>
      <c r="BM59" s="160">
        <f>+BM58-BM$9</f>
        <v>0</v>
      </c>
      <c r="BN59" s="160">
        <f>+BN58-BN$9</f>
        <v>0</v>
      </c>
      <c r="BO59" s="160">
        <f>+BO58-BO$9</f>
        <v>0</v>
      </c>
      <c r="BP59" s="160">
        <f>+BP58-BP$9</f>
        <v>0</v>
      </c>
      <c r="BR59" s="160">
        <f>+BR58-BR$9</f>
        <v>0</v>
      </c>
      <c r="BS59" s="160">
        <f>+BS58-BS$9</f>
        <v>0</v>
      </c>
      <c r="BT59" s="160">
        <f>+BT58-BT$9</f>
        <v>0</v>
      </c>
      <c r="BU59" s="160">
        <f>+BU58-BU$9</f>
        <v>0</v>
      </c>
      <c r="BV59" s="160">
        <f>+BV58-BV$9</f>
        <v>0</v>
      </c>
      <c r="BX59" s="160">
        <f>+BX58-BX$9</f>
        <v>0</v>
      </c>
      <c r="BY59" s="160">
        <f>+BY58-BY$9</f>
        <v>0</v>
      </c>
      <c r="BZ59" s="160">
        <f>+BZ58-BZ$9</f>
        <v>0</v>
      </c>
      <c r="CA59" s="160">
        <f>+CA58-CA$9</f>
        <v>0</v>
      </c>
      <c r="CB59" s="160">
        <f>+CB58-CB$9</f>
        <v>0</v>
      </c>
      <c r="CD59" s="160">
        <f>+CD58-CD$9</f>
        <v>0</v>
      </c>
      <c r="CE59" s="160">
        <f>+CE58-CE$9</f>
        <v>0</v>
      </c>
      <c r="CF59" s="160">
        <f>+CF58-CF$9</f>
        <v>0</v>
      </c>
      <c r="CG59" s="160">
        <f>+CG58-CG$9</f>
        <v>0</v>
      </c>
      <c r="CH59" s="160">
        <f>+CH58-CH$9</f>
        <v>0</v>
      </c>
      <c r="CJ59" s="160">
        <f>+CJ58-CJ$9</f>
        <v>0</v>
      </c>
      <c r="CK59" s="160">
        <f>+CK58-CK$9</f>
        <v>0</v>
      </c>
      <c r="CL59" s="160">
        <f>+CL58-CL$9</f>
        <v>0</v>
      </c>
      <c r="CM59" s="160">
        <f>+CM58-CM$9</f>
        <v>0</v>
      </c>
      <c r="CN59" s="160">
        <f>+CN58-CN$9</f>
        <v>0</v>
      </c>
      <c r="CP59" s="160">
        <f>+CP58-CP$9</f>
        <v>0</v>
      </c>
      <c r="CQ59" s="160">
        <f>+CQ58-CQ$9</f>
        <v>0</v>
      </c>
      <c r="CR59" s="160">
        <f>+CR58-CR$9</f>
        <v>0</v>
      </c>
      <c r="CS59" s="160">
        <f>+CS58-CS$9</f>
        <v>0</v>
      </c>
      <c r="CT59" s="160">
        <f>+CT58-CT$9</f>
        <v>0</v>
      </c>
      <c r="CV59" s="160">
        <f>+CV58-CV$9</f>
        <v>-174760000</v>
      </c>
      <c r="CX59" s="167"/>
      <c r="CZ59" s="160">
        <f>+CZ58-CZ$9</f>
        <v>0</v>
      </c>
      <c r="DA59" s="160">
        <f>+DA58-DA$9</f>
        <v>0</v>
      </c>
      <c r="DB59" s="160">
        <f>+DB58-DB$9</f>
        <v>0</v>
      </c>
      <c r="DC59" s="160">
        <f>+DC58-DC$9</f>
        <v>0</v>
      </c>
      <c r="DD59" s="160">
        <f>+DD58-DD$9</f>
        <v>0</v>
      </c>
      <c r="DF59" s="160">
        <f>+DF58-DF$9</f>
        <v>0</v>
      </c>
      <c r="DG59" s="160">
        <f>+DG58-DG$9</f>
        <v>0</v>
      </c>
      <c r="DH59" s="160">
        <f>+DH58-DH$9</f>
        <v>0</v>
      </c>
      <c r="DI59" s="160">
        <f>+DI58-DI$9</f>
        <v>0</v>
      </c>
      <c r="DJ59" s="160">
        <f>+DJ58-DJ$9</f>
        <v>0</v>
      </c>
      <c r="DL59" s="160">
        <f>+DL58-DL$9</f>
        <v>0</v>
      </c>
      <c r="DM59" s="160">
        <f>+DM58-DM$9</f>
        <v>0</v>
      </c>
      <c r="DN59" s="160">
        <f>+DN58-DN$9</f>
        <v>0</v>
      </c>
      <c r="DO59" s="160">
        <f>+DO58-DO$9</f>
        <v>0</v>
      </c>
      <c r="DP59" s="160">
        <f>+DP58-DP$9</f>
        <v>0</v>
      </c>
      <c r="DR59" s="160">
        <f>+DR58-DR$9</f>
        <v>0</v>
      </c>
      <c r="DS59" s="160">
        <f>+DS58-DS$9</f>
        <v>0</v>
      </c>
      <c r="DT59" s="160">
        <f>+DT58-DT$9</f>
        <v>0</v>
      </c>
      <c r="DU59" s="160">
        <f>+DU58-DU$9</f>
        <v>0</v>
      </c>
      <c r="DV59" s="160">
        <f>+DV58-DV$9</f>
        <v>0</v>
      </c>
      <c r="DX59" s="160">
        <f>+DX58-DX$9</f>
        <v>0</v>
      </c>
      <c r="DY59" s="160">
        <f>+DY58-DY$9</f>
        <v>0</v>
      </c>
      <c r="DZ59" s="160">
        <f>+DZ58-DZ$9</f>
        <v>0</v>
      </c>
      <c r="EA59" s="160">
        <f>+EA58-EA$9</f>
        <v>0</v>
      </c>
      <c r="EB59" s="160">
        <f>+EB58-EB$9</f>
        <v>0</v>
      </c>
      <c r="ED59" s="160">
        <f>+ED58-ED$9</f>
        <v>0</v>
      </c>
      <c r="EE59" s="160">
        <f>+EE58-EE$9</f>
        <v>0</v>
      </c>
      <c r="EF59" s="160">
        <f>+EF58-EF$9</f>
        <v>0</v>
      </c>
      <c r="EG59" s="160">
        <f>+EG58-EG$9</f>
        <v>0</v>
      </c>
      <c r="EH59" s="160">
        <f>+EH58-EH$9</f>
        <v>0</v>
      </c>
      <c r="EJ59" s="160">
        <f>+EJ58-EJ$9</f>
        <v>0</v>
      </c>
      <c r="EK59" s="160">
        <f>+EK58-EK$9</f>
        <v>0</v>
      </c>
      <c r="EL59" s="160">
        <f>+EL58-EL$9</f>
        <v>0</v>
      </c>
      <c r="EM59" s="160">
        <f>+EM58-EM$9</f>
        <v>0</v>
      </c>
      <c r="EN59" s="160">
        <f>+EN58-EN$9</f>
        <v>0</v>
      </c>
      <c r="EP59" s="160">
        <f>+EP58-EP$9</f>
        <v>0</v>
      </c>
      <c r="EQ59" s="160">
        <f>+EQ58-EQ$9</f>
        <v>0</v>
      </c>
      <c r="ER59" s="160">
        <f>+ER58-ER$9</f>
        <v>0</v>
      </c>
      <c r="ES59" s="160">
        <f>+ES58-ES$9</f>
        <v>0</v>
      </c>
      <c r="ET59" s="160">
        <f>+ET58-ET$9</f>
        <v>0</v>
      </c>
    </row>
    <row r="60" spans="1:150" ht="23.25" customHeight="1" x14ac:dyDescent="0.25">
      <c r="AV60" s="127">
        <f t="shared" si="3"/>
        <v>54</v>
      </c>
      <c r="AX60" s="172"/>
      <c r="AZ60" s="362"/>
      <c r="BA60" s="362"/>
      <c r="BB60" s="362"/>
      <c r="BC60" s="362"/>
      <c r="BD60" s="362"/>
      <c r="CX60" s="167"/>
    </row>
    <row r="61" spans="1:150" ht="16.649999999999999" customHeight="1" x14ac:dyDescent="0.25">
      <c r="A61" s="19" t="s">
        <v>210</v>
      </c>
      <c r="E61" s="149">
        <f>HLOOKUP(E$7,$AX$7:$CX$80,$AV61,FALSE)</f>
        <v>184982000</v>
      </c>
      <c r="G61" s="149">
        <f>HLOOKUP(G$7,$AX$7:$CX$80,$AV61,FALSE)</f>
        <v>163082000</v>
      </c>
      <c r="I61" s="149">
        <f>HLOOKUP(I$7,$AX$7:$CX$80,$AV61,FALSE)</f>
        <v>0</v>
      </c>
      <c r="K61" s="149">
        <f>HLOOKUP(K$7,$CX$7:$ET$80,$AV61,FALSE)</f>
        <v>526469000</v>
      </c>
      <c r="M61" s="149">
        <f>HLOOKUP(M$7,$CX$7:$ET$80,$AV61,FALSE)</f>
        <v>456651000</v>
      </c>
      <c r="O61" s="149">
        <f>HLOOKUP(O$7,$CX$7:$ET$80,$AV61,FALSE)</f>
        <v>0</v>
      </c>
      <c r="AV61" s="127">
        <f t="shared" si="3"/>
        <v>55</v>
      </c>
      <c r="AX61" s="167"/>
      <c r="AZ61" s="94">
        <v>166319000</v>
      </c>
      <c r="BA61" s="94">
        <v>175168000</v>
      </c>
      <c r="BB61" s="94">
        <v>184982000</v>
      </c>
      <c r="BD61" s="94">
        <f>SUM(AZ61:BC61)</f>
        <v>526469000</v>
      </c>
      <c r="BF61" s="94">
        <v>144166000</v>
      </c>
      <c r="BG61" s="94">
        <v>149403000</v>
      </c>
      <c r="BH61" s="94">
        <v>163082000</v>
      </c>
      <c r="BI61" s="94">
        <v>161875000</v>
      </c>
      <c r="BJ61" s="94">
        <f>SUM(BF61:BI61)</f>
        <v>618526000</v>
      </c>
      <c r="CX61" s="167"/>
      <c r="CZ61" s="71">
        <f>+AZ61</f>
        <v>166319000</v>
      </c>
      <c r="DA61" s="71">
        <f>SUM($AZ61:BA61)</f>
        <v>341487000</v>
      </c>
      <c r="DB61" s="71">
        <f>SUM($AZ61:BB61)</f>
        <v>526469000</v>
      </c>
      <c r="DC61" s="71">
        <f>SUM($AZ61:BC61)</f>
        <v>526469000</v>
      </c>
      <c r="DD61" s="94">
        <f>+DC61</f>
        <v>526469000</v>
      </c>
      <c r="DF61" s="71">
        <f>+BF61</f>
        <v>144166000</v>
      </c>
      <c r="DG61" s="71">
        <f>SUM($BF61:BG61)</f>
        <v>293569000</v>
      </c>
      <c r="DH61" s="71">
        <f>SUM($BF61:BH61)</f>
        <v>456651000</v>
      </c>
      <c r="DI61" s="71">
        <f>SUM($BF61:BI61)</f>
        <v>618526000</v>
      </c>
      <c r="DJ61" s="94">
        <f>+DI61</f>
        <v>618526000</v>
      </c>
    </row>
    <row r="62" spans="1:150" ht="15" customHeight="1" x14ac:dyDescent="0.25">
      <c r="A62" s="22" t="s">
        <v>211</v>
      </c>
      <c r="E62" s="149">
        <f>HLOOKUP(E$7,$AX$7:$CX$80,$AV62,FALSE)</f>
        <v>8531000</v>
      </c>
      <c r="G62" s="149">
        <f>HLOOKUP(G$7,$AX$7:$CX$80,$AV62,FALSE)</f>
        <v>9094000</v>
      </c>
      <c r="I62" s="149">
        <f>HLOOKUP(I$7,$AX$7:$CX$80,$AV62,FALSE)</f>
        <v>0</v>
      </c>
      <c r="K62" s="149">
        <f>HLOOKUP(K$7,$CX$7:$ET$80,$AV62,FALSE)</f>
        <v>25334000</v>
      </c>
      <c r="M62" s="149">
        <f>HLOOKUP(M$7,$CX$7:$ET$80,$AV62,FALSE)</f>
        <v>25737000</v>
      </c>
      <c r="O62" s="149">
        <f>HLOOKUP(O$7,$CX$7:$ET$80,$AV62,FALSE)</f>
        <v>0</v>
      </c>
      <c r="AV62" s="127">
        <f t="shared" si="3"/>
        <v>56</v>
      </c>
      <c r="AX62" s="167"/>
      <c r="AZ62" s="94">
        <v>8113000</v>
      </c>
      <c r="BA62" s="94">
        <v>8690000</v>
      </c>
      <c r="BB62" s="94">
        <v>8531000</v>
      </c>
      <c r="BD62" s="94">
        <f>SUM(AZ62:BC62)</f>
        <v>25334000</v>
      </c>
      <c r="BF62" s="94">
        <v>8137000</v>
      </c>
      <c r="BG62" s="94">
        <v>8506000</v>
      </c>
      <c r="BH62" s="94">
        <v>9094000</v>
      </c>
      <c r="BI62" s="94">
        <v>8372000</v>
      </c>
      <c r="BJ62" s="94">
        <f>SUM(BF62:BI62)</f>
        <v>34109000</v>
      </c>
      <c r="CX62" s="167"/>
      <c r="CZ62" s="71">
        <f>+AZ62</f>
        <v>8113000</v>
      </c>
      <c r="DA62" s="71">
        <f>SUM($AZ62:BA62)</f>
        <v>16803000</v>
      </c>
      <c r="DB62" s="71">
        <f>SUM($AZ62:BB62)</f>
        <v>25334000</v>
      </c>
      <c r="DC62" s="71">
        <f>SUM($AZ62:BC62)</f>
        <v>25334000</v>
      </c>
      <c r="DD62" s="94">
        <f>+DC62</f>
        <v>25334000</v>
      </c>
      <c r="DF62" s="71">
        <f>+BF62</f>
        <v>8137000</v>
      </c>
      <c r="DG62" s="71">
        <f>SUM($BF62:BG62)</f>
        <v>16643000</v>
      </c>
      <c r="DH62" s="71">
        <f>SUM($BF62:BH62)</f>
        <v>25737000</v>
      </c>
      <c r="DI62" s="71">
        <f>SUM($BF62:BI62)</f>
        <v>34109000</v>
      </c>
      <c r="DJ62" s="94">
        <f>+DI62</f>
        <v>34109000</v>
      </c>
    </row>
    <row r="63" spans="1:150" ht="16.649999999999999" customHeight="1" x14ac:dyDescent="0.25">
      <c r="A63" s="22" t="s">
        <v>212</v>
      </c>
      <c r="E63" s="149">
        <f>HLOOKUP(E$7,$AX$7:$CX$80,$AV63,FALSE)</f>
        <v>1367000</v>
      </c>
      <c r="G63" s="149">
        <f>HLOOKUP(G$7,$AX$7:$CX$80,$AV63,FALSE)</f>
        <v>1384000</v>
      </c>
      <c r="I63" s="149">
        <f>HLOOKUP(I$7,$AX$7:$CX$80,$AV63,FALSE)</f>
        <v>0</v>
      </c>
      <c r="K63" s="149">
        <f>HLOOKUP(K$7,$CX$7:$ET$80,$AV63,FALSE)</f>
        <v>3898000</v>
      </c>
      <c r="M63" s="149">
        <f>HLOOKUP(M$7,$CX$7:$ET$80,$AV63,FALSE)</f>
        <v>4528000</v>
      </c>
      <c r="O63" s="149">
        <f>HLOOKUP(O$7,$CX$7:$ET$80,$AV63,FALSE)</f>
        <v>0</v>
      </c>
      <c r="AV63" s="127">
        <f t="shared" si="3"/>
        <v>57</v>
      </c>
      <c r="AX63" s="167"/>
      <c r="AZ63" s="94">
        <v>1214000</v>
      </c>
      <c r="BA63" s="94">
        <v>1317000</v>
      </c>
      <c r="BB63" s="94">
        <v>1367000</v>
      </c>
      <c r="BD63" s="94">
        <f>SUM(AZ63:BC63)</f>
        <v>3898000</v>
      </c>
      <c r="BF63" s="94">
        <v>1555000</v>
      </c>
      <c r="BG63" s="94">
        <v>1589000</v>
      </c>
      <c r="BH63" s="94">
        <v>1384000</v>
      </c>
      <c r="BI63" s="94">
        <v>1368000</v>
      </c>
      <c r="BJ63" s="94">
        <f>SUM(BF63:BI63)</f>
        <v>5896000</v>
      </c>
      <c r="CX63" s="167"/>
      <c r="CZ63" s="71">
        <f>+AZ63</f>
        <v>1214000</v>
      </c>
      <c r="DA63" s="71">
        <f>SUM($AZ63:BA63)</f>
        <v>2531000</v>
      </c>
      <c r="DB63" s="71">
        <f>SUM($AZ63:BB63)</f>
        <v>3898000</v>
      </c>
      <c r="DC63" s="71">
        <f>SUM($AZ63:BC63)</f>
        <v>3898000</v>
      </c>
      <c r="DD63" s="94">
        <f>+DC63</f>
        <v>3898000</v>
      </c>
      <c r="DF63" s="71">
        <f>+BF63</f>
        <v>1555000</v>
      </c>
      <c r="DG63" s="71">
        <f>SUM($BF63:BG63)</f>
        <v>3144000</v>
      </c>
      <c r="DH63" s="71">
        <f>SUM($BF63:BH63)</f>
        <v>4528000</v>
      </c>
      <c r="DI63" s="71">
        <f>SUM($BF63:BI63)</f>
        <v>5896000</v>
      </c>
      <c r="DJ63" s="94">
        <f>+DI63</f>
        <v>5896000</v>
      </c>
    </row>
    <row r="64" spans="1:150" ht="16.649999999999999" customHeight="1" x14ac:dyDescent="0.25">
      <c r="A64" s="125" t="s">
        <v>213</v>
      </c>
      <c r="E64" s="156">
        <f>HLOOKUP(E$7,$AX$7:$CX$80,$AV64,FALSE)</f>
        <v>532000</v>
      </c>
      <c r="G64" s="156">
        <f>HLOOKUP(G$7,$AX$7:$CX$80,$AV64,FALSE)</f>
        <v>309000</v>
      </c>
      <c r="I64" s="156">
        <f>HLOOKUP(I$7,$AX$7:$CX$80,$AV64,FALSE)</f>
        <v>0</v>
      </c>
      <c r="K64" s="156">
        <f>HLOOKUP(K$7,$CX$7:$ET$80,$AV64,FALSE)</f>
        <v>1155000</v>
      </c>
      <c r="M64" s="156">
        <f>HLOOKUP(M$7,$CX$7:$ET$80,$AV64,FALSE)</f>
        <v>893000</v>
      </c>
      <c r="O64" s="156">
        <f>HLOOKUP(O$7,$CX$7:$ET$80,$AV64,FALSE)</f>
        <v>0</v>
      </c>
      <c r="AV64" s="127">
        <f t="shared" si="3"/>
        <v>58</v>
      </c>
      <c r="AX64" s="167"/>
      <c r="AZ64" s="157">
        <v>315000</v>
      </c>
      <c r="BA64" s="157">
        <v>308000</v>
      </c>
      <c r="BB64" s="157">
        <v>532000</v>
      </c>
      <c r="BD64" s="157">
        <f>SUM(AZ64:BC64)</f>
        <v>1155000</v>
      </c>
      <c r="BF64" s="157">
        <v>211000</v>
      </c>
      <c r="BG64" s="157">
        <v>373000</v>
      </c>
      <c r="BH64" s="157">
        <v>309000</v>
      </c>
      <c r="BI64" s="157">
        <v>237000</v>
      </c>
      <c r="BJ64" s="157">
        <f>SUM(BF64:BI64)</f>
        <v>1130000</v>
      </c>
      <c r="CX64" s="167"/>
      <c r="CZ64" s="129">
        <f>+AZ64</f>
        <v>315000</v>
      </c>
      <c r="DA64" s="129">
        <f>SUM($AZ64:BA64)</f>
        <v>623000</v>
      </c>
      <c r="DB64" s="129">
        <f>SUM($AZ64:BB64)</f>
        <v>1155000</v>
      </c>
      <c r="DC64" s="129">
        <f>SUM($AZ64:BC64)</f>
        <v>1155000</v>
      </c>
      <c r="DD64" s="157">
        <f>+DC64</f>
        <v>1155000</v>
      </c>
      <c r="DF64" s="129">
        <f>+BF64</f>
        <v>211000</v>
      </c>
      <c r="DG64" s="129">
        <f>SUM($BF64:BG64)</f>
        <v>584000</v>
      </c>
      <c r="DH64" s="129">
        <f>SUM($BF64:BH64)</f>
        <v>893000</v>
      </c>
      <c r="DI64" s="129">
        <f>SUM($BF64:BI64)</f>
        <v>1130000</v>
      </c>
      <c r="DJ64" s="157">
        <f>+DI64</f>
        <v>1130000</v>
      </c>
    </row>
    <row r="65" spans="1:114" ht="16.649999999999999" customHeight="1" x14ac:dyDescent="0.25">
      <c r="A65" s="125" t="s">
        <v>208</v>
      </c>
      <c r="E65" s="158">
        <f>SUM(E61:E64)</f>
        <v>195412000</v>
      </c>
      <c r="F65" s="179"/>
      <c r="G65" s="158">
        <f>SUM(G61:G64)</f>
        <v>173869000</v>
      </c>
      <c r="H65" s="179"/>
      <c r="I65" s="158">
        <f>SUM(I61:I64)</f>
        <v>0</v>
      </c>
      <c r="J65" s="180"/>
      <c r="K65" s="158">
        <f>SUM(K61:K64)</f>
        <v>556856000</v>
      </c>
      <c r="L65" s="179"/>
      <c r="M65" s="158">
        <f>SUM(M61:M64)</f>
        <v>487809000</v>
      </c>
      <c r="N65" s="179"/>
      <c r="O65" s="158">
        <f>SUM(O61:O64)</f>
        <v>0</v>
      </c>
      <c r="AV65" s="127">
        <f t="shared" si="3"/>
        <v>59</v>
      </c>
      <c r="AX65" s="167"/>
      <c r="AZ65" s="159">
        <f>SUM(AZ61:AZ64)</f>
        <v>175961000</v>
      </c>
      <c r="BA65" s="159">
        <f>SUM(BA61:BA64)</f>
        <v>185483000</v>
      </c>
      <c r="BB65" s="159">
        <f>SUM(BB61:BB64)</f>
        <v>195412000</v>
      </c>
      <c r="BC65" s="159">
        <f>SUM(BC61:BC64)</f>
        <v>0</v>
      </c>
      <c r="BD65" s="159">
        <f>SUM(BD61:BD64)</f>
        <v>556856000</v>
      </c>
      <c r="BE65" s="102"/>
      <c r="BF65" s="159">
        <f>SUM(BF61:BF64)</f>
        <v>154069000</v>
      </c>
      <c r="BG65" s="159">
        <f>SUM(BG61:BG64)</f>
        <v>159871000</v>
      </c>
      <c r="BH65" s="159">
        <f>SUM(BH61:BH64)</f>
        <v>173869000</v>
      </c>
      <c r="BI65" s="159">
        <f>SUM(BI61:BI64)</f>
        <v>171852000</v>
      </c>
      <c r="BJ65" s="159">
        <f>SUM(BJ61:BJ64)</f>
        <v>659661000</v>
      </c>
      <c r="CX65" s="167"/>
      <c r="CZ65" s="159">
        <f>SUM(CZ61:CZ64)</f>
        <v>175961000</v>
      </c>
      <c r="DA65" s="159">
        <f>SUM(DA61:DA64)</f>
        <v>361444000</v>
      </c>
      <c r="DB65" s="159">
        <f>SUM(DB61:DB64)</f>
        <v>556856000</v>
      </c>
      <c r="DC65" s="159">
        <f>SUM(DC61:DC64)</f>
        <v>556856000</v>
      </c>
      <c r="DD65" s="159">
        <f>SUM(DD61:DD64)</f>
        <v>556856000</v>
      </c>
      <c r="DF65" s="159">
        <f>SUM(DF61:DF64)</f>
        <v>154069000</v>
      </c>
      <c r="DG65" s="159">
        <f>SUM(DG61:DG64)</f>
        <v>313940000</v>
      </c>
      <c r="DH65" s="159">
        <f>SUM(DH61:DH64)</f>
        <v>487809000</v>
      </c>
      <c r="DI65" s="159">
        <f>SUM(DI61:DI64)</f>
        <v>659661000</v>
      </c>
      <c r="DJ65" s="159">
        <f>SUM(DJ61:DJ64)</f>
        <v>659661000</v>
      </c>
    </row>
    <row r="66" spans="1:114" ht="15.75" customHeight="1" x14ac:dyDescent="0.25">
      <c r="A66" s="385" t="s">
        <v>209</v>
      </c>
      <c r="B66" s="362"/>
      <c r="E66" s="160">
        <f>+E65-E$9</f>
        <v>0</v>
      </c>
      <c r="F66" s="181"/>
      <c r="G66" s="160">
        <f>+G65-G$9</f>
        <v>0</v>
      </c>
      <c r="H66" s="181"/>
      <c r="I66" s="160">
        <f>+I65-I$9</f>
        <v>-158615000</v>
      </c>
      <c r="J66" s="181"/>
      <c r="K66" s="160">
        <f>+K65-K$9</f>
        <v>0</v>
      </c>
      <c r="L66" s="181"/>
      <c r="M66" s="160">
        <f>+M65-M$9</f>
        <v>0</v>
      </c>
      <c r="N66" s="181"/>
      <c r="O66" s="160">
        <f>+O65-O$9</f>
        <v>-447957000</v>
      </c>
      <c r="AV66" s="127">
        <f t="shared" si="3"/>
        <v>60</v>
      </c>
      <c r="AX66" s="167"/>
      <c r="AZ66" s="160">
        <f>+AZ65-AZ$9</f>
        <v>0</v>
      </c>
      <c r="BA66" s="160">
        <f>+BA65-BA$9</f>
        <v>0</v>
      </c>
      <c r="BB66" s="160">
        <f>+BB65-BB$9</f>
        <v>0</v>
      </c>
      <c r="BC66" s="160">
        <f>+BC65-BC$9</f>
        <v>0</v>
      </c>
      <c r="BD66" s="160">
        <f>+BD65-BD$9</f>
        <v>0</v>
      </c>
      <c r="BF66" s="160">
        <f>+BF65-BF$9</f>
        <v>0</v>
      </c>
      <c r="BG66" s="160">
        <f>+BG65-BG$9</f>
        <v>0</v>
      </c>
      <c r="BH66" s="160">
        <f>+BH65-BH$9</f>
        <v>0</v>
      </c>
      <c r="BI66" s="160">
        <f>+BI65-BI$9</f>
        <v>0</v>
      </c>
      <c r="BJ66" s="160">
        <f>+BJ65-BJ$9</f>
        <v>0</v>
      </c>
      <c r="CX66" s="167"/>
      <c r="CZ66" s="160">
        <f>+CZ65-CZ$9</f>
        <v>0</v>
      </c>
      <c r="DA66" s="160">
        <f>+DA65-DA$9</f>
        <v>0</v>
      </c>
      <c r="DB66" s="160">
        <f>+DB65-DB$9</f>
        <v>0</v>
      </c>
      <c r="DC66" s="160">
        <f>+DC65-DC$9</f>
        <v>0</v>
      </c>
      <c r="DD66" s="160">
        <f>+DD65-DD$9</f>
        <v>0</v>
      </c>
      <c r="DF66" s="160">
        <f>+DF65-DF$9</f>
        <v>0</v>
      </c>
      <c r="DG66" s="160">
        <f>+DG65-DG$9</f>
        <v>0</v>
      </c>
      <c r="DH66" s="160">
        <f>+DH65-DH$9</f>
        <v>0</v>
      </c>
      <c r="DI66" s="160">
        <f>+DI65-DI$9</f>
        <v>0</v>
      </c>
      <c r="DJ66" s="160">
        <f>+DJ65-DJ$9</f>
        <v>0</v>
      </c>
    </row>
    <row r="67" spans="1:114" ht="16.649999999999999" customHeight="1" x14ac:dyDescent="0.25">
      <c r="AV67" s="127">
        <f t="shared" si="3"/>
        <v>61</v>
      </c>
      <c r="AX67" s="167"/>
      <c r="CX67" s="167"/>
    </row>
    <row r="68" spans="1:114" ht="16.649999999999999" customHeight="1" x14ac:dyDescent="0.25">
      <c r="A68" s="386" t="s">
        <v>214</v>
      </c>
      <c r="B68" s="362"/>
      <c r="C68" s="362"/>
      <c r="E68" s="387" t="s">
        <v>215</v>
      </c>
      <c r="F68" s="362"/>
      <c r="G68" s="362"/>
      <c r="K68" s="387" t="s">
        <v>216</v>
      </c>
      <c r="L68" s="362"/>
      <c r="M68" s="362"/>
      <c r="AV68" s="127">
        <f t="shared" si="3"/>
        <v>62</v>
      </c>
      <c r="AX68" s="167"/>
      <c r="CX68" s="167"/>
    </row>
    <row r="69" spans="1:114" ht="16.649999999999999" customHeight="1" x14ac:dyDescent="0.25">
      <c r="A69" s="163" t="s">
        <v>217</v>
      </c>
      <c r="B69" s="178"/>
      <c r="C69" s="163"/>
      <c r="E69" s="87" t="e">
        <v>#REF!</v>
      </c>
      <c r="F69" s="105"/>
      <c r="G69" s="87" t="e">
        <v>#REF!</v>
      </c>
      <c r="K69" s="87" t="e">
        <v>#REF!</v>
      </c>
      <c r="L69" s="102"/>
      <c r="M69" s="87" t="e">
        <v>#REF!</v>
      </c>
      <c r="AV69" s="127">
        <f t="shared" si="3"/>
        <v>63</v>
      </c>
      <c r="AX69" s="167"/>
      <c r="CX69" s="167"/>
    </row>
    <row r="70" spans="1:114" ht="16.649999999999999" customHeight="1" x14ac:dyDescent="0.25">
      <c r="A70" s="164" t="s">
        <v>130</v>
      </c>
      <c r="E70" s="165" t="e">
        <f>+E69-E34</f>
        <v>#REF!</v>
      </c>
      <c r="G70" s="165" t="e">
        <f>+G69-G34</f>
        <v>#REF!</v>
      </c>
      <c r="K70" s="165" t="e">
        <f>+K69-K34</f>
        <v>#REF!</v>
      </c>
      <c r="M70" s="165" t="e">
        <f>+M69-M34</f>
        <v>#REF!</v>
      </c>
      <c r="AV70" s="127">
        <f t="shared" si="3"/>
        <v>64</v>
      </c>
      <c r="AX70" s="167"/>
      <c r="CX70" s="167"/>
    </row>
    <row r="71" spans="1:114" ht="16.649999999999999" customHeight="1" x14ac:dyDescent="0.25">
      <c r="A71" s="147" t="s">
        <v>218</v>
      </c>
      <c r="E71" s="93" t="e">
        <v>#REF!</v>
      </c>
      <c r="G71" s="93" t="e">
        <v>#REF!</v>
      </c>
      <c r="K71" s="93" t="e">
        <v>#REF!</v>
      </c>
      <c r="M71" s="93" t="e">
        <v>#REF!</v>
      </c>
      <c r="AV71" s="127">
        <f t="shared" si="3"/>
        <v>65</v>
      </c>
      <c r="AX71" s="167"/>
      <c r="CX71" s="167"/>
    </row>
    <row r="72" spans="1:114" ht="16.649999999999999" customHeight="1" x14ac:dyDescent="0.25">
      <c r="A72" s="164" t="s">
        <v>130</v>
      </c>
      <c r="E72" s="165" t="e">
        <f>+E71-E11</f>
        <v>#REF!</v>
      </c>
      <c r="G72" s="165" t="e">
        <f>+G71-G11</f>
        <v>#REF!</v>
      </c>
      <c r="K72" s="165" t="e">
        <f>+K71-K11</f>
        <v>#REF!</v>
      </c>
      <c r="M72" s="165" t="e">
        <f>+M71-M11</f>
        <v>#REF!</v>
      </c>
      <c r="AV72" s="127">
        <f t="shared" si="3"/>
        <v>66</v>
      </c>
      <c r="AX72" s="167"/>
      <c r="CX72" s="167"/>
    </row>
    <row r="73" spans="1:114" ht="16.649999999999999" customHeight="1" x14ac:dyDescent="0.25">
      <c r="A73" s="147" t="s">
        <v>219</v>
      </c>
      <c r="E73" s="93" t="e">
        <v>#REF!</v>
      </c>
      <c r="G73" s="93" t="e">
        <v>#REF!</v>
      </c>
      <c r="K73" s="93" t="e">
        <v>#REF!</v>
      </c>
      <c r="M73" s="93" t="e">
        <v>#REF!</v>
      </c>
      <c r="AV73" s="127">
        <f t="shared" ref="AV73:AV81" si="4">+AV72+1</f>
        <v>67</v>
      </c>
      <c r="AX73" s="167"/>
      <c r="CX73" s="167"/>
    </row>
    <row r="74" spans="1:114" ht="16.649999999999999" customHeight="1" x14ac:dyDescent="0.25">
      <c r="A74" s="164" t="s">
        <v>130</v>
      </c>
      <c r="E74" s="165" t="e">
        <f>+E73-E20</f>
        <v>#REF!</v>
      </c>
      <c r="G74" s="165" t="e">
        <f>+G73-G20</f>
        <v>#REF!</v>
      </c>
      <c r="K74" s="165" t="e">
        <f>+K73-K20</f>
        <v>#REF!</v>
      </c>
      <c r="M74" s="165" t="e">
        <f>+M73-M20</f>
        <v>#REF!</v>
      </c>
      <c r="AV74" s="127">
        <f t="shared" si="4"/>
        <v>68</v>
      </c>
      <c r="AX74" s="167"/>
      <c r="CX74" s="167"/>
    </row>
    <row r="75" spans="1:114" ht="16.649999999999999" customHeight="1" x14ac:dyDescent="0.25">
      <c r="A75" s="147" t="s">
        <v>220</v>
      </c>
      <c r="E75" s="93" t="e">
        <v>#REF!</v>
      </c>
      <c r="G75" s="93" t="e">
        <v>#REF!</v>
      </c>
      <c r="K75" s="93" t="e">
        <v>#REF!</v>
      </c>
      <c r="M75" s="93" t="e">
        <v>#REF!</v>
      </c>
      <c r="AV75" s="127">
        <f t="shared" si="4"/>
        <v>69</v>
      </c>
      <c r="AX75" s="167"/>
      <c r="CX75" s="167"/>
    </row>
    <row r="76" spans="1:114" ht="16.649999999999999" customHeight="1" x14ac:dyDescent="0.25">
      <c r="A76" s="164" t="s">
        <v>130</v>
      </c>
      <c r="E76" s="165" t="e">
        <f>+E75-E47</f>
        <v>#REF!</v>
      </c>
      <c r="G76" s="165" t="e">
        <f>+G75-G47</f>
        <v>#REF!</v>
      </c>
      <c r="K76" s="165" t="e">
        <f>+K75-K47</f>
        <v>#REF!</v>
      </c>
      <c r="M76" s="165" t="e">
        <f>+M75-M47</f>
        <v>#REF!</v>
      </c>
      <c r="AV76" s="127">
        <f t="shared" si="4"/>
        <v>70</v>
      </c>
      <c r="AX76" s="167"/>
      <c r="CX76" s="167"/>
    </row>
    <row r="77" spans="1:114" ht="16.649999999999999" customHeight="1" x14ac:dyDescent="0.25">
      <c r="AV77" s="127">
        <f t="shared" si="4"/>
        <v>71</v>
      </c>
      <c r="AX77" s="167"/>
      <c r="CX77" s="167"/>
    </row>
    <row r="78" spans="1:114" ht="16.649999999999999" customHeight="1" x14ac:dyDescent="0.25">
      <c r="A78" s="386" t="s">
        <v>214</v>
      </c>
      <c r="B78" s="362"/>
      <c r="C78" s="362"/>
      <c r="E78" s="387" t="s">
        <v>221</v>
      </c>
      <c r="F78" s="362"/>
      <c r="G78" s="362"/>
      <c r="K78" s="387" t="s">
        <v>221</v>
      </c>
      <c r="L78" s="362"/>
      <c r="M78" s="362"/>
      <c r="AV78" s="127">
        <f t="shared" si="4"/>
        <v>72</v>
      </c>
      <c r="AX78" s="167"/>
      <c r="CX78" s="167"/>
    </row>
    <row r="79" spans="1:114" ht="16.649999999999999" customHeight="1" x14ac:dyDescent="0.25">
      <c r="A79" s="163" t="s">
        <v>217</v>
      </c>
      <c r="B79" s="178"/>
      <c r="C79" s="163"/>
      <c r="E79" s="87" t="e">
        <f>+[4]ytd!C14</f>
        <v>#REF!</v>
      </c>
      <c r="F79" s="102"/>
      <c r="G79" s="87" t="e">
        <f>+[4]ytd!E14</f>
        <v>#REF!</v>
      </c>
      <c r="K79" s="87" t="e">
        <f>+[4]ytd!G14</f>
        <v>#REF!</v>
      </c>
      <c r="L79" s="102"/>
      <c r="M79" s="87" t="e">
        <f>+[4]ytd!I14</f>
        <v>#REF!</v>
      </c>
      <c r="AV79" s="127">
        <f t="shared" si="4"/>
        <v>73</v>
      </c>
      <c r="AX79" s="167"/>
      <c r="CX79" s="167"/>
    </row>
    <row r="80" spans="1:114" ht="16.649999999999999" customHeight="1" x14ac:dyDescent="0.25">
      <c r="A80" s="164" t="s">
        <v>130</v>
      </c>
      <c r="E80" s="165" t="e">
        <f>+E79-E34</f>
        <v>#REF!</v>
      </c>
      <c r="G80" s="165" t="e">
        <f>+G79-G34</f>
        <v>#REF!</v>
      </c>
      <c r="K80" s="165" t="e">
        <f>+K79-K34</f>
        <v>#REF!</v>
      </c>
      <c r="M80" s="165" t="e">
        <f>+M79-M34</f>
        <v>#REF!</v>
      </c>
      <c r="AV80" s="127">
        <f t="shared" si="4"/>
        <v>74</v>
      </c>
      <c r="AX80" s="167"/>
      <c r="CX80" s="167"/>
    </row>
    <row r="81" spans="48:102" ht="16.649999999999999" customHeight="1" x14ac:dyDescent="0.25">
      <c r="AV81" s="127">
        <f t="shared" si="4"/>
        <v>75</v>
      </c>
      <c r="AX81" s="167"/>
      <c r="CX81" s="167"/>
    </row>
    <row r="82" spans="48:102" ht="16.649999999999999" customHeight="1" x14ac:dyDescent="0.25">
      <c r="AX82" s="167"/>
      <c r="CX82" s="167"/>
    </row>
    <row r="83" spans="48:102" ht="16.649999999999999" customHeight="1" x14ac:dyDescent="0.25">
      <c r="AX83" s="167"/>
      <c r="CX83" s="167"/>
    </row>
    <row r="84" spans="48:102" ht="16.649999999999999" customHeight="1" x14ac:dyDescent="0.25">
      <c r="AX84" s="167"/>
      <c r="CX84" s="167"/>
    </row>
    <row r="85" spans="48:102" ht="16.649999999999999" customHeight="1" x14ac:dyDescent="0.25">
      <c r="AX85" s="167"/>
      <c r="CX85" s="167"/>
    </row>
    <row r="86" spans="48:102" ht="16.649999999999999" customHeight="1" x14ac:dyDescent="0.25">
      <c r="AX86" s="167"/>
      <c r="CX86" s="167"/>
    </row>
    <row r="87" spans="48:102" ht="16.649999999999999" customHeight="1" x14ac:dyDescent="0.25">
      <c r="AX87" s="167"/>
      <c r="CX87" s="167"/>
    </row>
    <row r="88" spans="48:102" ht="16.649999999999999" customHeight="1" x14ac:dyDescent="0.25">
      <c r="AX88" s="167"/>
      <c r="CX88" s="167"/>
    </row>
    <row r="89" spans="48:102" ht="16.649999999999999" customHeight="1" x14ac:dyDescent="0.25">
      <c r="AX89" s="167"/>
      <c r="CX89" s="167"/>
    </row>
    <row r="90" spans="48:102" ht="16.649999999999999" customHeight="1" x14ac:dyDescent="0.25">
      <c r="AX90" s="167"/>
      <c r="CX90" s="167"/>
    </row>
    <row r="91" spans="48:102" ht="16.649999999999999" customHeight="1" x14ac:dyDescent="0.25">
      <c r="AX91" s="167"/>
      <c r="CX91" s="167"/>
    </row>
    <row r="92" spans="48:102" ht="16.649999999999999" customHeight="1" x14ac:dyDescent="0.25">
      <c r="AX92" s="167"/>
      <c r="CX92" s="167"/>
    </row>
    <row r="93" spans="48:102" ht="16.649999999999999" customHeight="1" x14ac:dyDescent="0.25">
      <c r="AX93" s="167"/>
      <c r="CX93" s="167"/>
    </row>
    <row r="94" spans="48:102" ht="16.649999999999999" customHeight="1" x14ac:dyDescent="0.25">
      <c r="AX94" s="167"/>
      <c r="CX94" s="167"/>
    </row>
    <row r="95" spans="48:102" ht="16.649999999999999" customHeight="1" x14ac:dyDescent="0.25">
      <c r="AX95" s="167"/>
      <c r="CX95" s="167"/>
    </row>
    <row r="96" spans="48:102" ht="16.649999999999999" customHeight="1" x14ac:dyDescent="0.25">
      <c r="AX96" s="167"/>
      <c r="CX96" s="167"/>
    </row>
    <row r="97" spans="50:102" ht="16.649999999999999" customHeight="1" x14ac:dyDescent="0.25">
      <c r="AX97" s="167"/>
      <c r="CX97" s="167"/>
    </row>
    <row r="98" spans="50:102" ht="16.649999999999999" customHeight="1" x14ac:dyDescent="0.25">
      <c r="AX98" s="167"/>
      <c r="CX98" s="167"/>
    </row>
    <row r="99" spans="50:102" ht="16.649999999999999" customHeight="1" x14ac:dyDescent="0.25">
      <c r="AX99" s="167"/>
      <c r="CX99" s="167"/>
    </row>
    <row r="100" spans="50:102" ht="16.649999999999999" customHeight="1" x14ac:dyDescent="0.25">
      <c r="AX100" s="167"/>
      <c r="CX100" s="167"/>
    </row>
    <row r="101" spans="50:102" ht="16.649999999999999" customHeight="1" x14ac:dyDescent="0.25">
      <c r="AX101" s="167"/>
      <c r="CX101" s="167"/>
    </row>
    <row r="102" spans="50:102" ht="16.649999999999999" customHeight="1" x14ac:dyDescent="0.25">
      <c r="AX102" s="167"/>
      <c r="CX102" s="167"/>
    </row>
    <row r="103" spans="50:102" ht="15" customHeight="1" x14ac:dyDescent="0.25">
      <c r="AX103" s="167"/>
      <c r="CX103" s="167"/>
    </row>
    <row r="104" spans="50:102" ht="15" customHeight="1" x14ac:dyDescent="0.25"/>
  </sheetData>
  <mergeCells count="53">
    <mergeCell ref="ED6:EE6"/>
    <mergeCell ref="DX6:EB6"/>
    <mergeCell ref="EJ6:EK6"/>
    <mergeCell ref="EP6:EQ6"/>
    <mergeCell ref="CD54:CH54"/>
    <mergeCell ref="DF6:DJ6"/>
    <mergeCell ref="CZ6:DD6"/>
    <mergeCell ref="DL6:DP6"/>
    <mergeCell ref="DR6:DV6"/>
    <mergeCell ref="E68:G68"/>
    <mergeCell ref="A78:C78"/>
    <mergeCell ref="E78:G78"/>
    <mergeCell ref="K78:M78"/>
    <mergeCell ref="K68:M68"/>
    <mergeCell ref="A46:C46"/>
    <mergeCell ref="A55:C55"/>
    <mergeCell ref="A59:B59"/>
    <mergeCell ref="A66:B66"/>
    <mergeCell ref="A68:C68"/>
    <mergeCell ref="AO6:AP6"/>
    <mergeCell ref="AO5:AP5"/>
    <mergeCell ref="AR6:AS6"/>
    <mergeCell ref="AR5:AS5"/>
    <mergeCell ref="AZ60:BD60"/>
    <mergeCell ref="AC6:AG6"/>
    <mergeCell ref="AC5:AG5"/>
    <mergeCell ref="AC4:AG4"/>
    <mergeCell ref="AC2:AG2"/>
    <mergeCell ref="AI2:AM2"/>
    <mergeCell ref="AI4:AM4"/>
    <mergeCell ref="AI5:AM5"/>
    <mergeCell ref="AI6:AM6"/>
    <mergeCell ref="Q5:U5"/>
    <mergeCell ref="Q6:U6"/>
    <mergeCell ref="Q4:U4"/>
    <mergeCell ref="Q2:U2"/>
    <mergeCell ref="W2:AA2"/>
    <mergeCell ref="W4:AA4"/>
    <mergeCell ref="W5:AA5"/>
    <mergeCell ref="W6:AA6"/>
    <mergeCell ref="E6:I6"/>
    <mergeCell ref="E5:I5"/>
    <mergeCell ref="E4:I4"/>
    <mergeCell ref="E2:I2"/>
    <mergeCell ref="K2:O2"/>
    <mergeCell ref="K4:O4"/>
    <mergeCell ref="K5:O5"/>
    <mergeCell ref="K6:O6"/>
    <mergeCell ref="A2:C2"/>
    <mergeCell ref="A4:C4"/>
    <mergeCell ref="A3:C3"/>
    <mergeCell ref="A5:C5"/>
    <mergeCell ref="A6:C6"/>
  </mergeCells>
  <conditionalFormatting sqref="E59:O59 AZ59:BD59 BF59:BJ59 BL59:BP59 BR59:BV59 BX59:CB59 CD59:CH59 CJ59:CN59 CP59:CT59 CV59 CZ59:DD59 DF59:DJ59 DL59:DP59 DR59:DV59 DX59:EB59 ED59:EH59 EJ59:EN59 EP59:ET59 E66:O66 AZ66:BD66 BF66:BJ66 CZ66:DD66 DF66:DJ66 E70:M70 E72:M72 E74:M74 E76:M76 E80:M80">
    <cfRule type="cellIs" dxfId="1" priority="1" operator="notEqual">
      <formula>0</formula>
    </cfRule>
  </conditionalFormatting>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P41"/>
  <sheetViews>
    <sheetView workbookViewId="0">
      <pane xSplit="1" ySplit="5" topLeftCell="B6" activePane="bottomRight" state="frozen"/>
      <selection pane="topRight"/>
      <selection pane="bottomLeft"/>
      <selection pane="bottomRight"/>
    </sheetView>
  </sheetViews>
  <sheetFormatPr defaultColWidth="13.08984375" defaultRowHeight="12.5" x14ac:dyDescent="0.25"/>
  <cols>
    <col min="1" max="1" width="38.453125" customWidth="1"/>
    <col min="2" max="16" width="0" hidden="1"/>
    <col min="18" max="21" width="0" hidden="1"/>
    <col min="23" max="26" width="0" hidden="1"/>
  </cols>
  <sheetData>
    <row r="1" spans="1:42" ht="15" customHeight="1" x14ac:dyDescent="0.3">
      <c r="A1" s="182" t="s">
        <v>222</v>
      </c>
    </row>
    <row r="2" spans="1:42" ht="15" customHeight="1" x14ac:dyDescent="0.25"/>
    <row r="3" spans="1:42" ht="15" customHeight="1" x14ac:dyDescent="0.3">
      <c r="B3" s="183">
        <v>42825</v>
      </c>
      <c r="C3" s="184">
        <v>42916</v>
      </c>
      <c r="D3" s="184">
        <v>43008</v>
      </c>
      <c r="E3" s="184">
        <v>43100</v>
      </c>
      <c r="F3" s="183">
        <v>43190</v>
      </c>
      <c r="G3" s="184">
        <f>+F3</f>
        <v>43190</v>
      </c>
      <c r="H3" s="184">
        <v>43281</v>
      </c>
      <c r="I3" s="184">
        <v>43373</v>
      </c>
      <c r="J3" s="184">
        <v>43465</v>
      </c>
      <c r="K3" s="183">
        <v>43555</v>
      </c>
      <c r="L3" s="184">
        <f>+K3</f>
        <v>43555</v>
      </c>
      <c r="M3" s="184">
        <v>43646</v>
      </c>
      <c r="N3" s="184">
        <v>43738</v>
      </c>
      <c r="O3" s="184">
        <v>43830</v>
      </c>
      <c r="P3" s="183">
        <v>43921</v>
      </c>
      <c r="Q3" s="184">
        <f>+P3</f>
        <v>43921</v>
      </c>
      <c r="R3" s="184">
        <v>44012</v>
      </c>
      <c r="S3" s="184">
        <v>44104</v>
      </c>
      <c r="T3" s="184">
        <v>44196</v>
      </c>
      <c r="U3" s="183">
        <v>44286</v>
      </c>
      <c r="V3" s="184">
        <f>+U3</f>
        <v>44286</v>
      </c>
      <c r="W3" s="184">
        <v>44377</v>
      </c>
      <c r="X3" s="184">
        <v>44469</v>
      </c>
      <c r="Y3" s="184">
        <v>44561</v>
      </c>
      <c r="Z3" s="183">
        <v>44651</v>
      </c>
      <c r="AA3" s="184">
        <f>+Z3</f>
        <v>44651</v>
      </c>
      <c r="AB3" s="184">
        <v>44742</v>
      </c>
      <c r="AC3" s="184">
        <v>44834</v>
      </c>
      <c r="AD3" s="184">
        <v>44926</v>
      </c>
      <c r="AE3" s="183">
        <v>45016</v>
      </c>
      <c r="AF3" s="184">
        <f>+AE3</f>
        <v>45016</v>
      </c>
      <c r="AG3" s="184">
        <v>45107</v>
      </c>
      <c r="AH3" s="184">
        <v>45199</v>
      </c>
      <c r="AI3" s="184">
        <v>45291</v>
      </c>
      <c r="AJ3" s="183">
        <v>45382</v>
      </c>
      <c r="AK3" s="184">
        <f>+AJ3</f>
        <v>45382</v>
      </c>
      <c r="AL3" s="184">
        <v>45473</v>
      </c>
      <c r="AM3" s="184">
        <v>45565</v>
      </c>
      <c r="AN3" s="184">
        <v>45657</v>
      </c>
      <c r="AO3" s="184">
        <v>45747</v>
      </c>
      <c r="AP3" s="184">
        <f>+AO3</f>
        <v>45747</v>
      </c>
    </row>
    <row r="4" spans="1:42" ht="15" customHeight="1" x14ac:dyDescent="0.3">
      <c r="B4" s="185" t="s">
        <v>223</v>
      </c>
      <c r="C4" s="186" t="s">
        <v>224</v>
      </c>
      <c r="D4" s="186" t="s">
        <v>225</v>
      </c>
      <c r="E4" s="186" t="s">
        <v>226</v>
      </c>
      <c r="F4" s="186" t="s">
        <v>227</v>
      </c>
      <c r="G4" s="185" t="s">
        <v>228</v>
      </c>
      <c r="H4" s="186" t="s">
        <v>229</v>
      </c>
      <c r="I4" s="186" t="s">
        <v>230</v>
      </c>
      <c r="J4" s="186" t="s">
        <v>231</v>
      </c>
      <c r="K4" s="186" t="s">
        <v>232</v>
      </c>
      <c r="L4" s="185" t="s">
        <v>233</v>
      </c>
      <c r="M4" s="186" t="s">
        <v>234</v>
      </c>
      <c r="N4" s="186" t="s">
        <v>235</v>
      </c>
      <c r="O4" s="186" t="s">
        <v>236</v>
      </c>
      <c r="P4" s="186" t="s">
        <v>237</v>
      </c>
      <c r="Q4" s="185" t="s">
        <v>238</v>
      </c>
      <c r="R4" s="186" t="s">
        <v>239</v>
      </c>
      <c r="S4" s="186" t="s">
        <v>240</v>
      </c>
      <c r="T4" s="186" t="s">
        <v>241</v>
      </c>
      <c r="U4" s="186" t="s">
        <v>242</v>
      </c>
      <c r="V4" s="185" t="s">
        <v>243</v>
      </c>
      <c r="W4" s="186" t="s">
        <v>244</v>
      </c>
      <c r="X4" s="186" t="s">
        <v>245</v>
      </c>
      <c r="Y4" s="186" t="s">
        <v>246</v>
      </c>
      <c r="Z4" s="186" t="s">
        <v>247</v>
      </c>
      <c r="AA4" s="185" t="s">
        <v>248</v>
      </c>
      <c r="AB4" s="186" t="s">
        <v>249</v>
      </c>
      <c r="AC4" s="186" t="s">
        <v>250</v>
      </c>
      <c r="AD4" s="186" t="s">
        <v>251</v>
      </c>
      <c r="AE4" s="186" t="s">
        <v>252</v>
      </c>
      <c r="AF4" s="185" t="s">
        <v>253</v>
      </c>
      <c r="AG4" s="186" t="s">
        <v>254</v>
      </c>
      <c r="AH4" s="186" t="s">
        <v>255</v>
      </c>
      <c r="AI4" s="186" t="s">
        <v>256</v>
      </c>
      <c r="AJ4" s="186" t="s">
        <v>257</v>
      </c>
      <c r="AK4" s="185" t="s">
        <v>258</v>
      </c>
      <c r="AL4" s="186" t="s">
        <v>259</v>
      </c>
      <c r="AM4" s="186" t="s">
        <v>260</v>
      </c>
      <c r="AN4" s="186" t="s">
        <v>261</v>
      </c>
      <c r="AO4" s="186" t="s">
        <v>262</v>
      </c>
      <c r="AP4" s="185" t="s">
        <v>263</v>
      </c>
    </row>
    <row r="5" spans="1:42" ht="15" customHeight="1" x14ac:dyDescent="0.25">
      <c r="B5" s="189"/>
      <c r="C5" s="50"/>
      <c r="D5" s="50"/>
      <c r="E5" s="50"/>
      <c r="F5" s="50"/>
      <c r="G5" s="189"/>
      <c r="H5" s="50"/>
      <c r="I5" s="50"/>
      <c r="J5" s="50"/>
      <c r="K5" s="50"/>
      <c r="L5" s="189"/>
      <c r="M5" s="50"/>
      <c r="N5" s="50"/>
      <c r="O5" s="50"/>
      <c r="P5" s="50"/>
      <c r="Q5" s="189"/>
      <c r="R5" s="50"/>
      <c r="S5" s="50"/>
      <c r="T5" s="50"/>
      <c r="U5" s="50"/>
      <c r="V5" s="189"/>
      <c r="W5" s="50"/>
      <c r="X5" s="50"/>
      <c r="Y5" s="50"/>
      <c r="Z5" s="50"/>
      <c r="AA5" s="189"/>
      <c r="AB5" s="50"/>
      <c r="AC5" s="50"/>
      <c r="AD5" s="50"/>
      <c r="AE5" s="50"/>
      <c r="AF5" s="189"/>
      <c r="AG5" s="50"/>
      <c r="AH5" s="50"/>
      <c r="AI5" s="50"/>
      <c r="AJ5" s="50"/>
      <c r="AK5" s="189"/>
      <c r="AL5" s="50"/>
      <c r="AM5" s="50"/>
      <c r="AN5" s="50"/>
      <c r="AO5" s="50"/>
      <c r="AP5" s="189"/>
    </row>
    <row r="6" spans="1:42" ht="15" customHeight="1" x14ac:dyDescent="0.3">
      <c r="A6" s="2" t="s">
        <v>264</v>
      </c>
      <c r="B6" s="187">
        <v>28</v>
      </c>
      <c r="C6" s="188">
        <v>29</v>
      </c>
      <c r="D6" s="188">
        <v>31</v>
      </c>
      <c r="E6" s="188">
        <v>31</v>
      </c>
      <c r="F6" s="188">
        <v>34</v>
      </c>
      <c r="G6" s="187">
        <v>34</v>
      </c>
      <c r="H6" s="188">
        <v>32</v>
      </c>
      <c r="I6" s="188">
        <v>40</v>
      </c>
      <c r="J6" s="188">
        <v>42</v>
      </c>
      <c r="K6" s="188">
        <v>46</v>
      </c>
      <c r="L6" s="187">
        <v>46</v>
      </c>
      <c r="M6" s="188">
        <v>45</v>
      </c>
      <c r="N6" s="188">
        <v>44</v>
      </c>
      <c r="O6" s="188">
        <v>54</v>
      </c>
      <c r="P6" s="188">
        <v>53</v>
      </c>
      <c r="Q6" s="187">
        <v>53</v>
      </c>
      <c r="R6" s="188">
        <v>60</v>
      </c>
      <c r="S6" s="188">
        <v>62</v>
      </c>
      <c r="T6" s="188">
        <v>65</v>
      </c>
      <c r="U6" s="188">
        <v>70</v>
      </c>
      <c r="V6" s="187">
        <v>70</v>
      </c>
      <c r="W6" s="188">
        <v>70</v>
      </c>
      <c r="X6" s="188">
        <v>80</v>
      </c>
      <c r="Y6" s="188">
        <v>86</v>
      </c>
      <c r="Z6" s="188">
        <v>87</v>
      </c>
      <c r="AA6" s="187">
        <v>87</v>
      </c>
      <c r="AB6" s="188">
        <v>90</v>
      </c>
      <c r="AC6" s="188">
        <v>92</v>
      </c>
      <c r="AD6" s="188">
        <v>94</v>
      </c>
      <c r="AE6" s="188">
        <v>95</v>
      </c>
      <c r="AF6" s="187">
        <v>95</v>
      </c>
      <c r="AG6" s="188">
        <v>96</v>
      </c>
      <c r="AH6" s="188">
        <v>99</v>
      </c>
      <c r="AI6" s="188">
        <v>105</v>
      </c>
      <c r="AJ6" s="188">
        <v>115</v>
      </c>
      <c r="AK6" s="187">
        <v>115</v>
      </c>
      <c r="AL6" s="188">
        <v>115</v>
      </c>
      <c r="AM6" s="188">
        <v>125</v>
      </c>
      <c r="AN6" s="188">
        <v>125</v>
      </c>
      <c r="AP6" s="187">
        <v>125</v>
      </c>
    </row>
    <row r="7" spans="1:42" ht="15" customHeight="1" x14ac:dyDescent="0.3">
      <c r="A7" s="2" t="s">
        <v>265</v>
      </c>
      <c r="B7" s="187">
        <v>402</v>
      </c>
      <c r="C7" s="188">
        <v>435</v>
      </c>
      <c r="D7" s="188">
        <v>450</v>
      </c>
      <c r="E7" s="188">
        <v>520</v>
      </c>
      <c r="F7" s="188">
        <v>550</v>
      </c>
      <c r="G7" s="187">
        <v>550</v>
      </c>
      <c r="H7" s="188">
        <v>585</v>
      </c>
      <c r="I7" s="188">
        <v>610</v>
      </c>
      <c r="J7" s="188">
        <v>640</v>
      </c>
      <c r="K7" s="188">
        <v>665</v>
      </c>
      <c r="L7" s="187">
        <v>665</v>
      </c>
      <c r="M7" s="188">
        <v>690</v>
      </c>
      <c r="N7" s="188">
        <v>720</v>
      </c>
      <c r="O7" s="188">
        <v>770</v>
      </c>
      <c r="P7" s="188">
        <v>780</v>
      </c>
      <c r="Q7" s="187">
        <v>780</v>
      </c>
      <c r="R7" s="188">
        <v>770</v>
      </c>
      <c r="S7" s="188">
        <v>795</v>
      </c>
      <c r="T7" s="188">
        <v>810</v>
      </c>
      <c r="U7" s="188">
        <v>825</v>
      </c>
      <c r="V7" s="187">
        <v>825</v>
      </c>
      <c r="W7" s="188">
        <v>855</v>
      </c>
      <c r="X7" s="188">
        <v>870</v>
      </c>
      <c r="Y7" s="188">
        <v>890</v>
      </c>
      <c r="Z7" s="188">
        <v>905</v>
      </c>
      <c r="AA7" s="187">
        <v>905</v>
      </c>
      <c r="AB7" s="188">
        <v>910</v>
      </c>
      <c r="AC7" s="188">
        <v>920</v>
      </c>
      <c r="AD7" s="188">
        <v>910</v>
      </c>
      <c r="AE7" s="188">
        <v>920</v>
      </c>
      <c r="AF7" s="187">
        <v>920</v>
      </c>
      <c r="AG7" s="188">
        <v>915</v>
      </c>
      <c r="AH7" s="188">
        <v>895</v>
      </c>
      <c r="AI7" s="188">
        <v>895</v>
      </c>
      <c r="AJ7" s="188">
        <v>900</v>
      </c>
      <c r="AK7" s="187">
        <v>900</v>
      </c>
      <c r="AL7" s="188">
        <v>900</v>
      </c>
      <c r="AM7" s="188">
        <v>885</v>
      </c>
      <c r="AN7" s="188">
        <v>865</v>
      </c>
      <c r="AP7" s="187">
        <v>865</v>
      </c>
    </row>
    <row r="8" spans="1:42" ht="15" customHeight="1" x14ac:dyDescent="0.25"/>
    <row r="9" spans="1:42" ht="15" customHeight="1" x14ac:dyDescent="0.25"/>
    <row r="10" spans="1:42" ht="15" customHeight="1" x14ac:dyDescent="0.25"/>
    <row r="11" spans="1:42" ht="15" customHeight="1" x14ac:dyDescent="0.25"/>
    <row r="12" spans="1:42" ht="15" customHeight="1" x14ac:dyDescent="0.25"/>
    <row r="13" spans="1:42" ht="15" customHeight="1" x14ac:dyDescent="0.25"/>
    <row r="14" spans="1:42" ht="15" customHeight="1" x14ac:dyDescent="0.25"/>
    <row r="15" spans="1:42" ht="15" customHeight="1" x14ac:dyDescent="0.25"/>
    <row r="16" spans="1:42"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P32"/>
  <sheetViews>
    <sheetView workbookViewId="0">
      <pane xSplit="1" ySplit="7" topLeftCell="B8" activePane="bottomRight" state="frozen"/>
      <selection pane="topRight"/>
      <selection pane="bottomLeft"/>
      <selection pane="bottomRight"/>
    </sheetView>
  </sheetViews>
  <sheetFormatPr defaultColWidth="13.08984375" defaultRowHeight="12.5" x14ac:dyDescent="0.25"/>
  <cols>
    <col min="1" max="1" width="35.90625" customWidth="1"/>
    <col min="2" max="2" width="0.90625" customWidth="1"/>
    <col min="3" max="3" width="10.36328125" customWidth="1"/>
    <col min="4" max="4" width="0.90625" customWidth="1"/>
    <col min="5" max="5" width="10.36328125" customWidth="1"/>
    <col min="6" max="6" width="0.90625" customWidth="1"/>
    <col min="7" max="7" width="10.36328125" customWidth="1"/>
    <col min="8" max="8" width="2.81640625" customWidth="1"/>
    <col min="9" max="9" width="9.08984375" customWidth="1"/>
    <col min="10" max="10" width="1.08984375" customWidth="1"/>
    <col min="11" max="11" width="9.08984375" customWidth="1"/>
    <col min="12" max="12" width="1.08984375" customWidth="1"/>
    <col min="13" max="13" width="9.08984375" customWidth="1"/>
    <col min="14" max="14" width="1.54296875" customWidth="1"/>
    <col min="15" max="15" width="8.81640625" customWidth="1"/>
    <col min="16" max="16" width="1.54296875" customWidth="1"/>
    <col min="17" max="17" width="8.81640625" customWidth="1"/>
    <col min="18" max="18" width="1.54296875" customWidth="1"/>
    <col min="19" max="19" width="8.81640625" customWidth="1"/>
    <col min="20" max="20" width="1.54296875" customWidth="1"/>
    <col min="21" max="21" width="8.81640625" customWidth="1"/>
    <col min="22" max="22" width="1.54296875" customWidth="1"/>
    <col min="23" max="23" width="8.81640625" customWidth="1"/>
    <col min="24" max="24" width="1.54296875" customWidth="1"/>
    <col min="25" max="27" width="8.81640625" customWidth="1"/>
    <col min="28" max="28" width="1.7265625" customWidth="1"/>
    <col min="29" max="30" width="16.81640625" customWidth="1"/>
    <col min="31" max="31" width="1.90625" customWidth="1"/>
    <col min="32" max="33" width="1.54296875" customWidth="1"/>
    <col min="34" max="38" width="11.6328125" customWidth="1"/>
    <col min="39" max="39" width="2.1796875" customWidth="1"/>
    <col min="40" max="44" width="9.90625" customWidth="1"/>
    <col min="45" max="45" width="1.90625" customWidth="1"/>
    <col min="46" max="50" width="10.36328125" customWidth="1"/>
    <col min="51" max="51" width="1.54296875" customWidth="1"/>
    <col min="52" max="56" width="11.6328125" customWidth="1"/>
    <col min="57" max="57" width="2.1796875" customWidth="1"/>
    <col min="58" max="62" width="11.6328125" customWidth="1"/>
    <col min="63" max="63" width="1.54296875" customWidth="1"/>
    <col min="64" max="68" width="10.36328125" customWidth="1"/>
    <col min="69" max="69" width="0.90625" customWidth="1"/>
    <col min="70" max="74" width="10.36328125" customWidth="1"/>
    <col min="75" max="75" width="1.26953125" customWidth="1"/>
    <col min="76" max="77" width="2.81640625" customWidth="1"/>
    <col min="78" max="82" width="10.36328125" customWidth="1"/>
    <col min="83" max="83" width="2.36328125" customWidth="1"/>
    <col min="84" max="88" width="12" customWidth="1"/>
    <col min="89" max="89" width="2.1796875" customWidth="1"/>
    <col min="90" max="94" width="11" customWidth="1"/>
    <col min="95" max="95" width="2.81640625" customWidth="1"/>
  </cols>
  <sheetData>
    <row r="1" spans="1:94" ht="15" customHeight="1" x14ac:dyDescent="0.25">
      <c r="AF1" s="167"/>
      <c r="BX1" s="167"/>
    </row>
    <row r="2" spans="1:94" ht="15.75" customHeight="1" x14ac:dyDescent="0.25">
      <c r="AF2" s="169"/>
      <c r="BX2" s="169"/>
    </row>
    <row r="3" spans="1:94" ht="15.75" customHeight="1" x14ac:dyDescent="0.25">
      <c r="AF3" s="169"/>
      <c r="BX3" s="169"/>
    </row>
    <row r="4" spans="1:94" ht="15.75" customHeight="1" x14ac:dyDescent="0.25">
      <c r="C4" s="380" t="s">
        <v>266</v>
      </c>
      <c r="D4" s="362"/>
      <c r="E4" s="362"/>
      <c r="F4" s="362"/>
      <c r="G4" s="362"/>
      <c r="I4" s="380" t="s">
        <v>266</v>
      </c>
      <c r="J4" s="362"/>
      <c r="K4" s="362"/>
      <c r="L4" s="362"/>
      <c r="M4" s="362"/>
      <c r="O4" s="380" t="s">
        <v>146</v>
      </c>
      <c r="P4" s="362"/>
      <c r="Q4" s="362"/>
      <c r="R4" s="362"/>
      <c r="S4" s="362"/>
      <c r="U4" s="380" t="s">
        <v>146</v>
      </c>
      <c r="V4" s="362"/>
      <c r="W4" s="362"/>
      <c r="X4" s="362"/>
      <c r="Y4" s="362"/>
      <c r="AF4" s="169"/>
      <c r="BX4" s="169"/>
      <c r="BZ4" s="111" t="s">
        <v>146</v>
      </c>
      <c r="CF4" s="111" t="s">
        <v>146</v>
      </c>
      <c r="CL4" s="111" t="s">
        <v>146</v>
      </c>
    </row>
    <row r="5" spans="1:94" ht="15.75" customHeight="1" x14ac:dyDescent="0.25">
      <c r="C5" s="381" t="s">
        <v>267</v>
      </c>
      <c r="D5" s="381"/>
      <c r="E5" s="381"/>
      <c r="F5" s="381"/>
      <c r="G5" s="381"/>
      <c r="I5" s="381" t="s">
        <v>267</v>
      </c>
      <c r="J5" s="381"/>
      <c r="K5" s="381"/>
      <c r="L5" s="381"/>
      <c r="M5" s="381"/>
      <c r="O5" s="381" t="s">
        <v>268</v>
      </c>
      <c r="P5" s="381"/>
      <c r="Q5" s="381"/>
      <c r="R5" s="381"/>
      <c r="S5" s="381"/>
      <c r="U5" s="381" t="s">
        <v>269</v>
      </c>
      <c r="V5" s="381"/>
      <c r="W5" s="381"/>
      <c r="X5" s="381"/>
      <c r="Y5" s="381"/>
      <c r="AA5" s="125" t="s">
        <v>146</v>
      </c>
      <c r="AF5" s="169"/>
      <c r="AI5" s="57"/>
      <c r="AJ5" s="58" t="s">
        <v>157</v>
      </c>
      <c r="BX5" s="169"/>
    </row>
    <row r="6" spans="1:94" ht="15" customHeight="1" x14ac:dyDescent="0.25">
      <c r="C6" s="389" t="s">
        <v>155</v>
      </c>
      <c r="D6" s="362"/>
      <c r="E6" s="362"/>
      <c r="F6" s="362"/>
      <c r="G6" s="362"/>
      <c r="I6" s="383" t="s">
        <v>156</v>
      </c>
      <c r="J6" s="362"/>
      <c r="K6" s="362"/>
      <c r="L6" s="362"/>
      <c r="M6" s="362"/>
      <c r="O6" s="389" t="s">
        <v>155</v>
      </c>
      <c r="P6" s="362"/>
      <c r="Q6" s="362"/>
      <c r="R6" s="362"/>
      <c r="S6" s="362"/>
      <c r="U6" s="389" t="s">
        <v>155</v>
      </c>
      <c r="V6" s="362"/>
      <c r="W6" s="362"/>
      <c r="X6" s="362"/>
      <c r="Y6" s="362"/>
      <c r="AA6" s="125" t="s">
        <v>270</v>
      </c>
      <c r="AF6" s="207"/>
      <c r="AH6" s="361" t="s">
        <v>171</v>
      </c>
      <c r="AI6" s="362"/>
      <c r="AJ6" s="362"/>
      <c r="AK6" s="362"/>
      <c r="AL6" s="362"/>
      <c r="AN6" s="361" t="s">
        <v>172</v>
      </c>
      <c r="AO6" s="362"/>
      <c r="AP6" s="362"/>
      <c r="AQ6" s="362"/>
      <c r="AR6" s="362"/>
      <c r="AT6" s="361" t="s">
        <v>173</v>
      </c>
      <c r="AU6" s="362"/>
      <c r="AV6" s="362"/>
      <c r="AW6" s="362"/>
      <c r="AX6" s="362"/>
      <c r="AZ6" s="361" t="s">
        <v>174</v>
      </c>
      <c r="BA6" s="362"/>
      <c r="BB6" s="362"/>
      <c r="BC6" s="362"/>
      <c r="BD6" s="362"/>
      <c r="BF6" s="361" t="s">
        <v>175</v>
      </c>
      <c r="BG6" s="362"/>
      <c r="BH6" s="362"/>
      <c r="BI6" s="362"/>
      <c r="BJ6" s="362"/>
      <c r="BL6" s="361" t="s">
        <v>176</v>
      </c>
      <c r="BM6" s="362"/>
      <c r="BN6" s="362"/>
      <c r="BO6" s="362"/>
      <c r="BP6" s="362"/>
      <c r="BR6" s="361" t="s">
        <v>177</v>
      </c>
      <c r="BS6" s="362"/>
      <c r="BT6" s="362"/>
      <c r="BU6" s="362"/>
      <c r="BV6" s="362"/>
      <c r="BX6" s="207"/>
      <c r="BZ6" s="380" t="s">
        <v>159</v>
      </c>
      <c r="CA6" s="362"/>
      <c r="CB6" s="362"/>
      <c r="CC6" s="362"/>
      <c r="CD6" s="362"/>
      <c r="CF6" s="380" t="s">
        <v>271</v>
      </c>
      <c r="CG6" s="362"/>
      <c r="CH6" s="362"/>
      <c r="CI6" s="362"/>
      <c r="CJ6" s="362"/>
      <c r="CL6" s="380" t="s">
        <v>161</v>
      </c>
      <c r="CM6" s="362"/>
      <c r="CN6" s="362"/>
      <c r="CO6" s="362"/>
      <c r="CP6" s="362"/>
    </row>
    <row r="7" spans="1:94" ht="15" customHeight="1" x14ac:dyDescent="0.25">
      <c r="C7" s="190">
        <f>+Dates!$B29</f>
        <v>45657</v>
      </c>
      <c r="E7" s="190">
        <f>+Dates!$C29</f>
        <v>45291</v>
      </c>
      <c r="G7" s="190">
        <f>+Dates!$D29</f>
        <v>44926</v>
      </c>
      <c r="I7" s="190">
        <f>+Dates!$B29</f>
        <v>45657</v>
      </c>
      <c r="K7" s="190">
        <f>+Dates!$C29</f>
        <v>45291</v>
      </c>
      <c r="M7" s="190">
        <f>+Dates!$D29</f>
        <v>44926</v>
      </c>
      <c r="O7" s="190">
        <f>+Dates!$B29</f>
        <v>45657</v>
      </c>
      <c r="Q7" s="190">
        <f>+Dates!$C29</f>
        <v>45291</v>
      </c>
      <c r="S7" s="190">
        <f>+Dates!$D29</f>
        <v>44926</v>
      </c>
      <c r="U7" s="190">
        <f>+Dates!$B29</f>
        <v>45657</v>
      </c>
      <c r="W7" s="190">
        <f>+Dates!$C29</f>
        <v>45291</v>
      </c>
      <c r="Y7" s="190">
        <f>+Dates!$D29</f>
        <v>44926</v>
      </c>
      <c r="AA7" s="191">
        <v>1</v>
      </c>
      <c r="AC7" s="57" t="s">
        <v>146</v>
      </c>
      <c r="AD7" s="57" t="s">
        <v>146</v>
      </c>
      <c r="AF7" s="171"/>
      <c r="AH7" s="192">
        <v>45473</v>
      </c>
      <c r="AI7" s="192">
        <v>45565</v>
      </c>
      <c r="AJ7" s="193">
        <v>45657</v>
      </c>
      <c r="AK7" s="192">
        <v>45747</v>
      </c>
      <c r="AL7" s="192" t="s">
        <v>171</v>
      </c>
      <c r="AN7" s="120">
        <v>45107</v>
      </c>
      <c r="AO7" s="120">
        <v>45199</v>
      </c>
      <c r="AP7" s="120">
        <v>45291</v>
      </c>
      <c r="AQ7" s="120">
        <v>45382</v>
      </c>
      <c r="AR7" s="120" t="s">
        <v>172</v>
      </c>
      <c r="AT7" s="192">
        <v>44742</v>
      </c>
      <c r="AU7" s="192">
        <v>44834</v>
      </c>
      <c r="AV7" s="192">
        <v>44926</v>
      </c>
      <c r="AW7" s="192">
        <v>45016</v>
      </c>
      <c r="AX7" s="192" t="s">
        <v>173</v>
      </c>
      <c r="AZ7" s="120">
        <v>44377</v>
      </c>
      <c r="BA7" s="120">
        <v>44469</v>
      </c>
      <c r="BB7" s="120">
        <v>44561</v>
      </c>
      <c r="BC7" s="120">
        <v>44651</v>
      </c>
      <c r="BD7" s="120" t="s">
        <v>174</v>
      </c>
      <c r="BF7" s="120">
        <v>44012</v>
      </c>
      <c r="BG7" s="120">
        <v>44104</v>
      </c>
      <c r="BH7" s="120">
        <v>44196</v>
      </c>
      <c r="BI7" s="120">
        <v>44286</v>
      </c>
      <c r="BJ7" s="120" t="s">
        <v>175</v>
      </c>
      <c r="BL7" s="120">
        <v>43646</v>
      </c>
      <c r="BM7" s="120">
        <v>43738</v>
      </c>
      <c r="BN7" s="120">
        <v>43830</v>
      </c>
      <c r="BO7" s="120">
        <v>43921</v>
      </c>
      <c r="BP7" s="120" t="s">
        <v>176</v>
      </c>
      <c r="BR7" s="120">
        <v>43281</v>
      </c>
      <c r="BS7" s="120">
        <v>43373</v>
      </c>
      <c r="BT7" s="120">
        <v>43465</v>
      </c>
      <c r="BU7" s="120">
        <v>43555</v>
      </c>
      <c r="BV7" s="122" t="s">
        <v>177</v>
      </c>
      <c r="BX7" s="171"/>
      <c r="BZ7" s="117">
        <v>45473</v>
      </c>
      <c r="CA7" s="117">
        <v>45565</v>
      </c>
      <c r="CB7" s="117">
        <v>45657</v>
      </c>
      <c r="CC7" s="117">
        <v>45747</v>
      </c>
      <c r="CD7" s="117" t="s">
        <v>171</v>
      </c>
      <c r="CF7" s="117">
        <v>45107</v>
      </c>
      <c r="CG7" s="117">
        <v>45199</v>
      </c>
      <c r="CH7" s="117">
        <v>45291</v>
      </c>
      <c r="CI7" s="117">
        <v>45382</v>
      </c>
      <c r="CJ7" s="117" t="s">
        <v>172</v>
      </c>
      <c r="CL7" s="117">
        <v>44742</v>
      </c>
      <c r="CM7" s="117">
        <v>44834</v>
      </c>
      <c r="CN7" s="117">
        <v>44926</v>
      </c>
      <c r="CO7" s="117">
        <v>45016</v>
      </c>
      <c r="CP7" s="117" t="s">
        <v>172</v>
      </c>
    </row>
    <row r="8" spans="1:94" ht="15.75" customHeight="1" x14ac:dyDescent="0.25">
      <c r="A8" s="22" t="s">
        <v>272</v>
      </c>
      <c r="C8" s="88">
        <f>HLOOKUP(C$7,$AF$7:$BW$26,$AA8,FALSE)</f>
        <v>140414000</v>
      </c>
      <c r="D8" s="163"/>
      <c r="E8" s="88">
        <f>HLOOKUP(E$7,$AF$7:$BW$26,$AA8,FALSE)</f>
        <v>128935000</v>
      </c>
      <c r="F8" s="163"/>
      <c r="G8" s="88">
        <f>HLOOKUP(G$7,$AF$7:$BW$26,$AA8,FALSE)</f>
        <v>115328000</v>
      </c>
      <c r="I8" s="88">
        <f>HLOOKUP(I$7,$BX$7:$CQ$26,$AA8,FALSE)</f>
        <v>398875000</v>
      </c>
      <c r="J8" s="208"/>
      <c r="K8" s="88">
        <f>HLOOKUP(K$7,$BX$7:$CQ$26,$AA8,FALSE)</f>
        <v>356042000</v>
      </c>
      <c r="L8" s="195"/>
      <c r="M8" s="88">
        <f>HLOOKUP(M$7,$BX$7:$CQ$26,$AA8,FALSE)</f>
        <v>321345000</v>
      </c>
      <c r="O8" s="194">
        <f>+C8-E8</f>
        <v>11479000</v>
      </c>
      <c r="P8" s="209"/>
      <c r="Q8" s="194">
        <f>+E8-G8</f>
        <v>13607000</v>
      </c>
      <c r="R8" s="195"/>
      <c r="S8" s="195"/>
      <c r="U8" s="195" t="str">
        <f>IF(C8&gt;E8,"increase","decrease")</f>
        <v>increase</v>
      </c>
      <c r="V8" s="195"/>
      <c r="W8" s="195" t="str">
        <f>IF(E8&gt;G8,"increase","decrease")</f>
        <v>increase</v>
      </c>
      <c r="X8" s="195"/>
      <c r="Y8" s="195"/>
      <c r="AA8" s="196">
        <v>2</v>
      </c>
      <c r="AF8" s="172"/>
      <c r="AH8" s="72">
        <f>+'1.Input IS Trend &amp; EPS'!AZ11</f>
        <v>124212000</v>
      </c>
      <c r="AI8" s="72">
        <f>+'1.Input IS Trend &amp; EPS'!BA11</f>
        <v>134249000</v>
      </c>
      <c r="AJ8" s="72">
        <f>+'1.Input IS Trend &amp; EPS'!BB11</f>
        <v>140414000</v>
      </c>
      <c r="AK8" s="72">
        <f>+'1.Input IS Trend &amp; EPS'!BC11</f>
        <v>0</v>
      </c>
      <c r="AL8" s="72">
        <f>+'1.Input IS Trend &amp; EPS'!BD11</f>
        <v>398875000</v>
      </c>
      <c r="AN8" s="131">
        <f>+'1.Input IS Trend &amp; EPS'!BF11</f>
        <v>108448000</v>
      </c>
      <c r="AO8" s="131">
        <f>+'1.Input IS Trend &amp; EPS'!BG11</f>
        <v>118659000</v>
      </c>
      <c r="AP8" s="131">
        <f>+'1.Input IS Trend &amp; EPS'!BH11</f>
        <v>128935000</v>
      </c>
      <c r="AQ8" s="131">
        <f>+'1.Input IS Trend &amp; EPS'!BI11</f>
        <v>124130000</v>
      </c>
      <c r="AR8" s="131">
        <f>+'1.Input IS Trend &amp; EPS'!BJ11</f>
        <v>480172000</v>
      </c>
      <c r="AT8" s="72">
        <f>+'1.Input IS Trend &amp; EPS'!BL11</f>
        <v>101222000</v>
      </c>
      <c r="AU8" s="72">
        <f>+'1.Input IS Trend &amp; EPS'!BM11</f>
        <v>104795000</v>
      </c>
      <c r="AV8" s="72">
        <f>+'1.Input IS Trend &amp; EPS'!BN11</f>
        <v>115328000</v>
      </c>
      <c r="AW8" s="72">
        <f>+'1.Input IS Trend &amp; EPS'!BO11</f>
        <v>105154000</v>
      </c>
      <c r="AX8" s="72">
        <f>+'1.Input IS Trend &amp; EPS'!BP11</f>
        <v>426499000</v>
      </c>
      <c r="AZ8" s="131">
        <f>+'1.Input IS Trend &amp; EPS'!BR11</f>
        <v>84723000</v>
      </c>
      <c r="BA8" s="131">
        <f>+'1.Input IS Trend &amp; EPS'!BS11</f>
        <v>92211000</v>
      </c>
      <c r="BB8" s="131">
        <f>+'1.Input IS Trend &amp; EPS'!BT11</f>
        <v>102047000</v>
      </c>
      <c r="BC8" s="131">
        <f>+'1.Input IS Trend &amp; EPS'!BU11</f>
        <v>102249000</v>
      </c>
      <c r="BD8" s="131">
        <f>+'1.Input IS Trend &amp; EPS'!BV11</f>
        <v>381230000</v>
      </c>
      <c r="BF8" s="131">
        <f>+'1.Input IS Trend &amp; EPS'!BX11</f>
        <v>64972000</v>
      </c>
      <c r="BG8" s="131">
        <f>+'1.Input IS Trend &amp; EPS'!BY11</f>
        <v>69764000</v>
      </c>
      <c r="BH8" s="131">
        <f>+'1.Input IS Trend &amp; EPS'!BZ11</f>
        <v>82668000</v>
      </c>
      <c r="BI8" s="131">
        <f>+'1.Input IS Trend &amp; EPS'!CA11</f>
        <v>81618000</v>
      </c>
      <c r="BJ8" s="131">
        <f>+'1.Input IS Trend &amp; EPS'!CB11</f>
        <v>299022000</v>
      </c>
      <c r="BL8" s="131">
        <f>+'1.Input IS Trend &amp; EPS'!CD11</f>
        <v>46085000</v>
      </c>
      <c r="BM8" s="131">
        <f>+'1.Input IS Trend &amp; EPS'!CE11</f>
        <v>48683000</v>
      </c>
      <c r="BN8" s="131">
        <f>+'1.Input IS Trend &amp; EPS'!CF11</f>
        <v>64251000</v>
      </c>
      <c r="BO8" s="131">
        <f>+'1.Input IS Trend &amp; EPS'!CG11</f>
        <v>68849000</v>
      </c>
      <c r="BP8" s="131">
        <v>227868000</v>
      </c>
      <c r="BR8" s="131">
        <f>+'1.Input IS Trend &amp; EPS'!CJ11</f>
        <v>38817000</v>
      </c>
      <c r="BS8" s="131">
        <f>+'1.Input IS Trend &amp; EPS'!CK11</f>
        <v>40346000</v>
      </c>
      <c r="BT8" s="131">
        <f>+'1.Input IS Trend &amp; EPS'!CL11</f>
        <v>45183000</v>
      </c>
      <c r="BU8" s="131">
        <f>+'1.Input IS Trend &amp; EPS'!CM11</f>
        <v>40556000</v>
      </c>
      <c r="BV8" s="131">
        <f>+'1.Input IS Trend &amp; EPS'!CN11</f>
        <v>164902000</v>
      </c>
      <c r="BX8" s="172"/>
      <c r="BZ8" s="131">
        <f>SUM($AH8)</f>
        <v>124212000</v>
      </c>
      <c r="CA8" s="131">
        <f>SUM($AH8:AI8)</f>
        <v>258461000</v>
      </c>
      <c r="CB8" s="131">
        <f>SUM($AH8:AJ8)</f>
        <v>398875000</v>
      </c>
      <c r="CC8" s="131">
        <f>SUM($AH8:AK8)</f>
        <v>398875000</v>
      </c>
      <c r="CD8" s="131">
        <f>+CC8</f>
        <v>398875000</v>
      </c>
      <c r="CF8" s="131">
        <f>SUM($AN8)</f>
        <v>108448000</v>
      </c>
      <c r="CG8" s="131">
        <f>SUM($AN8:AO8)</f>
        <v>227107000</v>
      </c>
      <c r="CH8" s="131">
        <f>SUM($AN8:AP8)</f>
        <v>356042000</v>
      </c>
      <c r="CI8" s="131">
        <f>SUM($AN8:AQ8)</f>
        <v>480172000</v>
      </c>
      <c r="CJ8" s="131">
        <f>+CI8</f>
        <v>480172000</v>
      </c>
      <c r="CL8" s="131">
        <f>SUM($AT8)</f>
        <v>101222000</v>
      </c>
      <c r="CM8" s="131">
        <f>SUM($AT8:AU8)</f>
        <v>206017000</v>
      </c>
      <c r="CN8" s="131">
        <f>SUM($AT8:AV8)</f>
        <v>321345000</v>
      </c>
      <c r="CO8" s="131">
        <f>SUM($AT8:AW8)</f>
        <v>426499000</v>
      </c>
      <c r="CP8" s="131">
        <f>+CO8</f>
        <v>426499000</v>
      </c>
    </row>
    <row r="9" spans="1:94" ht="15.75" customHeight="1" x14ac:dyDescent="0.25">
      <c r="A9" s="22" t="s">
        <v>183</v>
      </c>
      <c r="C9" s="197">
        <f>HLOOKUP(C$7,$AF$7:$BW$26,$AA9,FALSE)</f>
        <v>0.71855362004380485</v>
      </c>
      <c r="E9" s="197">
        <f>HLOOKUP(E$7,$AF$7:$BW$26,$AA9,FALSE)</f>
        <v>0.74156405109594004</v>
      </c>
      <c r="G9" s="197">
        <f>HLOOKUP(G$7,$AF$7:$BW$26,$AA9,FALSE)</f>
        <v>0.72709390662925955</v>
      </c>
      <c r="I9" s="197">
        <f>HLOOKUP(I$7,$AF$7:$BW$26,$AA9,FALSE)</f>
        <v>0.71855362004380485</v>
      </c>
      <c r="K9" s="197">
        <f>HLOOKUP(K$7,$AF$7:$BW$26,$AA9,FALSE)</f>
        <v>0.74156405109594004</v>
      </c>
      <c r="M9" s="197">
        <f>HLOOKUP(M$7,$AF$7:$BW$26,$AA9,FALSE)</f>
        <v>0.72709390662925955</v>
      </c>
      <c r="O9" s="198">
        <f>+C9-E9</f>
        <v>-2.3010431052135183E-2</v>
      </c>
      <c r="Q9" s="198">
        <f>+E9-G9</f>
        <v>1.447014446668049E-2</v>
      </c>
      <c r="U9" s="111" t="str">
        <f>IF(C9&gt;E9,"increase","decrease")</f>
        <v>decrease</v>
      </c>
      <c r="W9" s="111" t="str">
        <f>IF(E9&gt;G9,"increase","decrease")</f>
        <v>increase</v>
      </c>
      <c r="AA9" s="196">
        <f t="shared" ref="AA9:AA30" si="0">+AA8+1</f>
        <v>3</v>
      </c>
      <c r="AF9" s="172"/>
      <c r="AH9" s="126">
        <f>+'1.Input IS Trend &amp; EPS'!AZ12</f>
        <v>0.70590642244588286</v>
      </c>
      <c r="AI9" s="126">
        <f>+'1.Input IS Trend &amp; EPS'!BA12</f>
        <v>0.72378061601332733</v>
      </c>
      <c r="AJ9" s="126">
        <f>+'1.Input IS Trend &amp; EPS'!BB12</f>
        <v>0.71855362004380485</v>
      </c>
      <c r="AK9" s="126">
        <f>+'1.Input IS Trend &amp; EPS'!BC12</f>
        <v>0</v>
      </c>
      <c r="AL9" s="126">
        <f>+'1.Input IS Trend &amp; EPS'!BD12</f>
        <v>0.71629828896519032</v>
      </c>
      <c r="AN9" s="126">
        <f>+'1.Input IS Trend &amp; EPS'!BF12</f>
        <v>0.70389241184144768</v>
      </c>
      <c r="AO9" s="126">
        <f>+'1.Input IS Trend &amp; EPS'!BG12</f>
        <v>0.74221716258733605</v>
      </c>
      <c r="AP9" s="126">
        <f>+'1.Input IS Trend &amp; EPS'!BH12</f>
        <v>0.74156405109594004</v>
      </c>
      <c r="AQ9" s="126">
        <f>+'1.Input IS Trend &amp; EPS'!BI12</f>
        <v>0.72230756697623533</v>
      </c>
      <c r="AR9" s="126">
        <f>+'1.Input IS Trend &amp; EPS'!BJ12</f>
        <v>0.72790721294725624</v>
      </c>
      <c r="AT9" s="126">
        <f>+'1.Input IS Trend &amp; EPS'!BL12</f>
        <v>0.71161322525537285</v>
      </c>
      <c r="AU9" s="126">
        <f>+'1.Input IS Trend &amp; EPS'!BM12</f>
        <v>0.71241136921393078</v>
      </c>
      <c r="AV9" s="126">
        <f>+'1.Input IS Trend &amp; EPS'!BN12</f>
        <v>0.72709390662925955</v>
      </c>
      <c r="AW9" s="126">
        <f>+'1.Input IS Trend &amp; EPS'!BO12</f>
        <v>0.70750743476915212</v>
      </c>
      <c r="AX9" s="126">
        <f>+'1.Input IS Trend &amp; EPS'!BP12</f>
        <v>0.71490303947648526</v>
      </c>
      <c r="AZ9" s="126">
        <f>+'1.Input IS Trend &amp; EPS'!BR12</f>
        <v>0.71173070784119352</v>
      </c>
      <c r="BA9" s="126">
        <f>+'1.Input IS Trend &amp; EPS'!BS12</f>
        <v>0.7244166863068584</v>
      </c>
      <c r="BB9" s="126">
        <f>+'1.Input IS Trend &amp; EPS'!BT12</f>
        <v>0.72577593809564456</v>
      </c>
      <c r="BC9" s="126">
        <f>+'1.Input IS Trend &amp; EPS'!BU12</f>
        <v>0.7214605750573293</v>
      </c>
      <c r="BD9" s="126">
        <f>+'1.Input IS Trend &amp; EPS'!BV12</f>
        <v>0.72112920097530153</v>
      </c>
      <c r="BF9" s="126">
        <f>+'1.Input IS Trend &amp; EPS'!BX12</f>
        <v>0.65339863431117184</v>
      </c>
      <c r="BG9" s="126">
        <f>+'1.Input IS Trend &amp; EPS'!BY12</f>
        <v>0.66657112009248909</v>
      </c>
      <c r="BH9" s="126">
        <f>+'1.Input IS Trend &amp; EPS'!BZ12</f>
        <v>0.69032091054086331</v>
      </c>
      <c r="BI9" s="126">
        <f>+'1.Input IS Trend &amp; EPS'!CA12</f>
        <v>0.68485840151038391</v>
      </c>
      <c r="BJ9" s="126">
        <f>+'1.Input IS Trend &amp; EPS'!CB12</f>
        <v>0.6749536144605508</v>
      </c>
      <c r="BL9" s="126">
        <f>+'1.Input IS Trend &amp; EPS'!CD12</f>
        <v>0.55853158972743033</v>
      </c>
      <c r="BM9" s="126">
        <f>+'1.Input IS Trend &amp; EPS'!CE12</f>
        <v>0.54006412034212303</v>
      </c>
      <c r="BN9" s="126">
        <f>+'1.Input IS Trend &amp; EPS'!CF12</f>
        <v>0.62857450326266673</v>
      </c>
      <c r="BO9" s="126">
        <f>+'1.Input IS Trend &amp; EPS'!CG12</f>
        <v>0.65135618395284811</v>
      </c>
      <c r="BP9" s="126">
        <v>0.59875135322619599</v>
      </c>
      <c r="BR9" s="126">
        <f>+'1.Input IS Trend &amp; EPS'!CJ12</f>
        <v>0.6213603111843895</v>
      </c>
      <c r="BS9" s="126">
        <f>+'1.Input IS Trend &amp; EPS'!CK12</f>
        <v>0.62250817749799425</v>
      </c>
      <c r="BT9" s="126">
        <f>+'1.Input IS Trend &amp; EPS'!CL12</f>
        <v>0.56463928218842552</v>
      </c>
      <c r="BU9" s="126">
        <f>+'1.Input IS Trend &amp; EPS'!CM12</f>
        <v>0.51785075846570305</v>
      </c>
      <c r="BV9" s="126">
        <f>+'1.Input IS Trend &amp; EPS'!CN12</f>
        <v>0.57734752468314543</v>
      </c>
      <c r="BX9" s="172"/>
      <c r="BZ9" s="126">
        <f>+'1.Input IS Trend &amp; EPS'!CZ12</f>
        <v>0.70590642244588286</v>
      </c>
      <c r="CA9" s="126">
        <f>+'1.Input IS Trend &amp; EPS'!DA12</f>
        <v>0.71507896105620783</v>
      </c>
      <c r="CB9" s="126">
        <f>+'1.Input IS Trend &amp; EPS'!DB12</f>
        <v>0.71629828896519032</v>
      </c>
      <c r="CC9" s="126">
        <f>+'1.Input IS Trend &amp; EPS'!DC12</f>
        <v>0.71629828896519032</v>
      </c>
      <c r="CD9" s="126">
        <f>+'1.Input IS Trend &amp; EPS'!DD12</f>
        <v>0.71629828896519032</v>
      </c>
      <c r="CF9" s="126">
        <f>+'1.Input IS Trend &amp; EPS'!DF12</f>
        <v>0.70389241184144768</v>
      </c>
      <c r="CG9" s="126">
        <f>+'1.Input IS Trend &amp; EPS'!DG12</f>
        <v>0.72340893164298914</v>
      </c>
      <c r="CH9" s="126">
        <f>+'1.Input IS Trend &amp; EPS'!DH12</f>
        <v>0.72987993251457028</v>
      </c>
      <c r="CI9" s="126">
        <f>+'1.Input IS Trend &amp; EPS'!DI12</f>
        <v>0.72790721294725624</v>
      </c>
      <c r="CJ9" s="126">
        <f>+'1.Input IS Trend &amp; EPS'!DJ12</f>
        <v>0.72790721294725624</v>
      </c>
      <c r="CL9" s="126">
        <f>+'1.Input IS Trend &amp; EPS'!DL12</f>
        <v>0.71161322525537285</v>
      </c>
      <c r="CM9" s="126">
        <f>+'1.Input IS Trend &amp; EPS'!DM12</f>
        <v>0.71201899482273567</v>
      </c>
      <c r="CN9" s="126">
        <f>+'1.Input IS Trend &amp; EPS'!DN12</f>
        <v>0.71735679987141621</v>
      </c>
      <c r="CO9" s="126">
        <f>+'1.Input IS Trend &amp; EPS'!DO12</f>
        <v>0.71490303947648526</v>
      </c>
      <c r="CP9" s="126">
        <f>+'1.Input IS Trend &amp; EPS'!DP12</f>
        <v>0.71490303947648526</v>
      </c>
    </row>
    <row r="10" spans="1:94" ht="15.75" customHeight="1" x14ac:dyDescent="0.25">
      <c r="AA10" s="196">
        <f t="shared" si="0"/>
        <v>4</v>
      </c>
      <c r="AF10" s="167"/>
      <c r="BX10" s="167"/>
    </row>
    <row r="11" spans="1:94" ht="15.75" customHeight="1" x14ac:dyDescent="0.25">
      <c r="A11" s="22" t="s">
        <v>273</v>
      </c>
      <c r="AA11" s="196">
        <f t="shared" si="0"/>
        <v>5</v>
      </c>
      <c r="AC11" s="85" t="s">
        <v>274</v>
      </c>
      <c r="AD11" s="85" t="s">
        <v>275</v>
      </c>
      <c r="AF11" s="167"/>
      <c r="BX11" s="167"/>
    </row>
    <row r="12" spans="1:94" ht="23.25" customHeight="1" x14ac:dyDescent="0.25">
      <c r="A12" s="199" t="s">
        <v>276</v>
      </c>
      <c r="C12" s="94">
        <f t="shared" ref="C12:C21" si="1">HLOOKUP(C$7,$AF$7:$BW$26,$AA12,FALSE)</f>
        <v>3686000</v>
      </c>
      <c r="E12" s="94">
        <f t="shared" ref="E12:E21" si="2">HLOOKUP(E$7,$AF$7:$BW$26,$AA12,FALSE)</f>
        <v>1181000</v>
      </c>
      <c r="G12" s="94">
        <f t="shared" ref="G12:G21" si="3">HLOOKUP(G$7,$AF$7:$BW$26,$AA12,FALSE)</f>
        <v>4209000</v>
      </c>
      <c r="I12" s="94">
        <f t="shared" ref="I12:I21" si="4">HLOOKUP(I$7,$BX$7:$CQ$26,$AA12,FALSE)</f>
        <v>11280000</v>
      </c>
      <c r="K12" s="94">
        <f t="shared" ref="K12:K21" si="5">HLOOKUP(K$7,$BX$7:$CQ$26,$AA12,FALSE)</f>
        <v>5688000</v>
      </c>
      <c r="M12" s="94">
        <f t="shared" ref="M12:M21" si="6">HLOOKUP(M$7,$BX$7:$CQ$26,$AA12,FALSE)</f>
        <v>13489000</v>
      </c>
      <c r="O12" s="198">
        <f t="shared" ref="O12:O22" si="7">+C12-E12</f>
        <v>2505000</v>
      </c>
      <c r="Q12" s="198">
        <f t="shared" ref="Q12:Q22" si="8">+E12-G12</f>
        <v>-3028000</v>
      </c>
      <c r="U12" s="111" t="str">
        <f t="shared" ref="U12:U22" si="9">IF(C12&gt;E12,"increase","decrease")</f>
        <v>increase</v>
      </c>
      <c r="W12" s="111" t="str">
        <f t="shared" ref="W12:W22" si="10">IF(E12&gt;G12,"increase","decrease")</f>
        <v>decrease</v>
      </c>
      <c r="AA12" s="196">
        <f t="shared" si="0"/>
        <v>6</v>
      </c>
      <c r="AC12" s="195" t="s">
        <v>181</v>
      </c>
      <c r="AD12" s="195" t="s">
        <v>277</v>
      </c>
      <c r="AF12" s="167"/>
      <c r="AH12" s="94">
        <v>3846000</v>
      </c>
      <c r="AI12" s="94">
        <v>3748000</v>
      </c>
      <c r="AJ12" s="200">
        <v>3686000</v>
      </c>
      <c r="AK12" s="94">
        <v>0</v>
      </c>
      <c r="AL12" s="94">
        <f t="shared" ref="AL12:AL21" si="11">SUM(AH12:AK12)</f>
        <v>11280000</v>
      </c>
      <c r="AN12" s="94">
        <v>3290000</v>
      </c>
      <c r="AO12" s="94">
        <v>1217000</v>
      </c>
      <c r="AP12" s="94">
        <v>1181000</v>
      </c>
      <c r="AQ12" s="94">
        <v>3097000</v>
      </c>
      <c r="AR12" s="94">
        <f t="shared" ref="AR12:AR21" si="12">SUM(AN12:AQ12)</f>
        <v>8785000</v>
      </c>
      <c r="AT12" s="94">
        <v>4643000</v>
      </c>
      <c r="AU12" s="94">
        <v>4637000</v>
      </c>
      <c r="AV12" s="94">
        <v>4209000</v>
      </c>
      <c r="AW12" s="94">
        <v>3336000</v>
      </c>
      <c r="AX12" s="94">
        <f t="shared" ref="AX12:AX21" si="13">SUM(AT12:AW12)</f>
        <v>16825000</v>
      </c>
      <c r="AZ12" s="94">
        <v>4645000</v>
      </c>
      <c r="BA12" s="94">
        <v>4612000</v>
      </c>
      <c r="BB12" s="94">
        <v>4647000</v>
      </c>
      <c r="BC12" s="94">
        <v>4807000</v>
      </c>
      <c r="BD12" s="94">
        <f t="shared" ref="BD12:BD21" si="14">SUM(AZ12:BC12)</f>
        <v>18711000</v>
      </c>
      <c r="BF12" s="94">
        <v>5306000</v>
      </c>
      <c r="BG12" s="94">
        <v>4350000</v>
      </c>
      <c r="BH12" s="94">
        <v>4213000</v>
      </c>
      <c r="BI12" s="94">
        <v>4177000</v>
      </c>
      <c r="BJ12" s="94">
        <f t="shared" ref="BJ12:BJ21" si="15">SUM(BF12:BI12)</f>
        <v>18046000</v>
      </c>
      <c r="BL12" s="94">
        <v>3123000</v>
      </c>
      <c r="BM12" s="94">
        <v>5369000</v>
      </c>
      <c r="BN12" s="94">
        <v>5369000</v>
      </c>
      <c r="BO12" s="94">
        <v>5181000</v>
      </c>
      <c r="BP12" s="94">
        <v>19042000</v>
      </c>
      <c r="BR12" s="94">
        <v>5970300</v>
      </c>
      <c r="BS12" s="94">
        <v>3548000</v>
      </c>
      <c r="BT12" s="94">
        <v>3359000</v>
      </c>
      <c r="BU12" s="94">
        <v>2981000</v>
      </c>
      <c r="BV12" s="94">
        <f t="shared" ref="BV12:BV20" si="16">SUM(BR12:BU12)</f>
        <v>15858300</v>
      </c>
      <c r="BX12" s="167"/>
      <c r="BZ12" s="72">
        <f t="shared" ref="BZ12:BZ21" si="17">SUM($AH12)</f>
        <v>3846000</v>
      </c>
      <c r="CA12" s="72">
        <f>SUM($AH12:AI12)</f>
        <v>7594000</v>
      </c>
      <c r="CB12" s="72">
        <f>SUM($AH12:AJ12)</f>
        <v>11280000</v>
      </c>
      <c r="CC12" s="72">
        <f>SUM($AH12:AK12)</f>
        <v>11280000</v>
      </c>
      <c r="CD12" s="72">
        <f t="shared" ref="CD12:CD21" si="18">+CC12</f>
        <v>11280000</v>
      </c>
      <c r="CF12" s="72">
        <f t="shared" ref="CF12:CF21" si="19">SUM($AN12)</f>
        <v>3290000</v>
      </c>
      <c r="CG12" s="72">
        <f>SUM($AN12:AO12)</f>
        <v>4507000</v>
      </c>
      <c r="CH12" s="72">
        <f>SUM($AN12:AP12)</f>
        <v>5688000</v>
      </c>
      <c r="CI12" s="72">
        <f>SUM($AN12:AQ12)</f>
        <v>8785000</v>
      </c>
      <c r="CJ12" s="72">
        <f t="shared" ref="CJ12:CJ21" si="20">+CI12</f>
        <v>8785000</v>
      </c>
      <c r="CL12" s="72">
        <f t="shared" ref="CL12:CL21" si="21">SUM($AT12)</f>
        <v>4643000</v>
      </c>
      <c r="CM12" s="72">
        <f>SUM($AT12:AU12)</f>
        <v>9280000</v>
      </c>
      <c r="CN12" s="72">
        <f>SUM($AT12:AV12)</f>
        <v>13489000</v>
      </c>
      <c r="CO12" s="72">
        <f>SUM($AT12:AW12)</f>
        <v>16825000</v>
      </c>
      <c r="CP12" s="72">
        <f t="shared" ref="CP12:CP21" si="22">+CO12</f>
        <v>16825000</v>
      </c>
    </row>
    <row r="13" spans="1:94" ht="23.25" customHeight="1" x14ac:dyDescent="0.25">
      <c r="A13" s="199" t="s">
        <v>278</v>
      </c>
      <c r="C13" s="94">
        <f t="shared" si="1"/>
        <v>1455000</v>
      </c>
      <c r="E13" s="94">
        <f t="shared" si="2"/>
        <v>817000</v>
      </c>
      <c r="G13" s="94">
        <f t="shared" si="3"/>
        <v>1208000</v>
      </c>
      <c r="I13" s="94">
        <f t="shared" si="4"/>
        <v>4550000</v>
      </c>
      <c r="K13" s="94">
        <f t="shared" si="5"/>
        <v>2075000</v>
      </c>
      <c r="M13" s="94">
        <f t="shared" si="6"/>
        <v>3664000</v>
      </c>
      <c r="O13" s="198">
        <f t="shared" si="7"/>
        <v>638000</v>
      </c>
      <c r="Q13" s="198">
        <f t="shared" si="8"/>
        <v>-391000</v>
      </c>
      <c r="U13" s="111" t="str">
        <f t="shared" si="9"/>
        <v>increase</v>
      </c>
      <c r="W13" s="111" t="str">
        <f t="shared" si="10"/>
        <v>decrease</v>
      </c>
      <c r="AA13" s="196">
        <f t="shared" si="0"/>
        <v>7</v>
      </c>
      <c r="AC13" s="111" t="s">
        <v>181</v>
      </c>
      <c r="AD13" s="111" t="s">
        <v>279</v>
      </c>
      <c r="AF13" s="167"/>
      <c r="AH13" s="94">
        <v>1596000</v>
      </c>
      <c r="AI13" s="94">
        <v>1499000</v>
      </c>
      <c r="AJ13" s="200">
        <v>1455000</v>
      </c>
      <c r="AK13" s="94">
        <v>0</v>
      </c>
      <c r="AL13" s="94">
        <f t="shared" si="11"/>
        <v>4550000</v>
      </c>
      <c r="AN13" s="94">
        <v>629000</v>
      </c>
      <c r="AO13" s="94">
        <v>629000</v>
      </c>
      <c r="AP13" s="94">
        <v>817000</v>
      </c>
      <c r="AQ13" s="94">
        <v>1478000</v>
      </c>
      <c r="AR13" s="94">
        <f t="shared" si="12"/>
        <v>3553000</v>
      </c>
      <c r="AT13" s="94">
        <v>1163000</v>
      </c>
      <c r="AU13" s="94">
        <v>1293000</v>
      </c>
      <c r="AV13" s="94">
        <v>1208000</v>
      </c>
      <c r="AW13" s="94">
        <v>2653000</v>
      </c>
      <c r="AX13" s="94">
        <f t="shared" si="13"/>
        <v>6317000</v>
      </c>
      <c r="AZ13" s="94">
        <v>790000</v>
      </c>
      <c r="BA13" s="94">
        <v>948000</v>
      </c>
      <c r="BB13" s="94">
        <v>1168000</v>
      </c>
      <c r="BC13" s="94">
        <v>1205000</v>
      </c>
      <c r="BD13" s="94">
        <f t="shared" si="14"/>
        <v>4111000</v>
      </c>
      <c r="BF13" s="94">
        <v>775000</v>
      </c>
      <c r="BG13" s="94">
        <v>913000</v>
      </c>
      <c r="BH13" s="94">
        <v>988000</v>
      </c>
      <c r="BI13" s="94">
        <v>2624000</v>
      </c>
      <c r="BJ13" s="94">
        <f t="shared" si="15"/>
        <v>5300000</v>
      </c>
      <c r="BL13" s="94">
        <v>755000</v>
      </c>
      <c r="BM13" s="94">
        <v>1060000</v>
      </c>
      <c r="BN13" s="94">
        <v>1028000</v>
      </c>
      <c r="BO13" s="94">
        <v>926000</v>
      </c>
      <c r="BP13" s="94">
        <v>3769000</v>
      </c>
      <c r="BR13" s="94">
        <v>711300</v>
      </c>
      <c r="BS13" s="94">
        <v>782000</v>
      </c>
      <c r="BT13" s="94">
        <v>1052000</v>
      </c>
      <c r="BU13" s="94">
        <v>2163000</v>
      </c>
      <c r="BV13" s="94">
        <f t="shared" si="16"/>
        <v>4708300</v>
      </c>
      <c r="BX13" s="167"/>
      <c r="BZ13" s="72">
        <f t="shared" si="17"/>
        <v>1596000</v>
      </c>
      <c r="CA13" s="72">
        <f>SUM($AH13:AI13)</f>
        <v>3095000</v>
      </c>
      <c r="CB13" s="72">
        <f>SUM($AH13:AJ13)</f>
        <v>4550000</v>
      </c>
      <c r="CC13" s="72">
        <f>SUM($AH13:AK13)</f>
        <v>4550000</v>
      </c>
      <c r="CD13" s="72">
        <f t="shared" si="18"/>
        <v>4550000</v>
      </c>
      <c r="CF13" s="72">
        <f t="shared" si="19"/>
        <v>629000</v>
      </c>
      <c r="CG13" s="72">
        <f>SUM($AN13:AO13)</f>
        <v>1258000</v>
      </c>
      <c r="CH13" s="72">
        <f>SUM($AN13:AP13)</f>
        <v>2075000</v>
      </c>
      <c r="CI13" s="72">
        <f>SUM($AN13:AQ13)</f>
        <v>3553000</v>
      </c>
      <c r="CJ13" s="72">
        <f t="shared" si="20"/>
        <v>3553000</v>
      </c>
      <c r="CL13" s="72">
        <f t="shared" si="21"/>
        <v>1163000</v>
      </c>
      <c r="CM13" s="72">
        <f>SUM($AT13:AU13)</f>
        <v>2456000</v>
      </c>
      <c r="CN13" s="72">
        <f>SUM($AT13:AV13)</f>
        <v>3664000</v>
      </c>
      <c r="CO13" s="72">
        <f>SUM($AT13:AW13)</f>
        <v>6317000</v>
      </c>
      <c r="CP13" s="72">
        <f t="shared" si="22"/>
        <v>6317000</v>
      </c>
    </row>
    <row r="14" spans="1:94" ht="23.25" customHeight="1" x14ac:dyDescent="0.25">
      <c r="A14" s="199" t="s">
        <v>280</v>
      </c>
      <c r="C14" s="94">
        <f t="shared" si="1"/>
        <v>10085000</v>
      </c>
      <c r="E14" s="94">
        <f t="shared" si="2"/>
        <v>6960000</v>
      </c>
      <c r="G14" s="94">
        <f t="shared" si="3"/>
        <v>10654000</v>
      </c>
      <c r="I14" s="94">
        <f t="shared" si="4"/>
        <v>31210000</v>
      </c>
      <c r="K14" s="94">
        <f t="shared" si="5"/>
        <v>17330000</v>
      </c>
      <c r="M14" s="94">
        <f t="shared" si="6"/>
        <v>34670000</v>
      </c>
      <c r="O14" s="198">
        <f t="shared" si="7"/>
        <v>3125000</v>
      </c>
      <c r="Q14" s="198">
        <f t="shared" si="8"/>
        <v>-3694000</v>
      </c>
      <c r="U14" s="111" t="str">
        <f t="shared" si="9"/>
        <v>increase</v>
      </c>
      <c r="W14" s="111" t="str">
        <f t="shared" si="10"/>
        <v>decrease</v>
      </c>
      <c r="AA14" s="196">
        <f t="shared" si="0"/>
        <v>8</v>
      </c>
      <c r="AC14" s="111" t="s">
        <v>185</v>
      </c>
      <c r="AD14" s="111" t="s">
        <v>279</v>
      </c>
      <c r="AF14" s="167"/>
      <c r="AH14" s="94">
        <v>10205000</v>
      </c>
      <c r="AI14" s="94">
        <v>10920000</v>
      </c>
      <c r="AJ14" s="200">
        <v>10085000</v>
      </c>
      <c r="AK14" s="94">
        <v>0</v>
      </c>
      <c r="AL14" s="94">
        <f t="shared" si="11"/>
        <v>31210000</v>
      </c>
      <c r="AN14" s="94">
        <v>5077000</v>
      </c>
      <c r="AO14" s="94">
        <v>5293000</v>
      </c>
      <c r="AP14" s="94">
        <v>6960000</v>
      </c>
      <c r="AQ14" s="94">
        <v>9859000</v>
      </c>
      <c r="AR14" s="94">
        <f t="shared" si="12"/>
        <v>27189000</v>
      </c>
      <c r="AT14" s="94">
        <v>11656000</v>
      </c>
      <c r="AU14" s="94">
        <v>12360000</v>
      </c>
      <c r="AV14" s="94">
        <v>10654000</v>
      </c>
      <c r="AW14" s="94">
        <v>20737000</v>
      </c>
      <c r="AX14" s="94">
        <f t="shared" si="13"/>
        <v>55407000</v>
      </c>
      <c r="AZ14" s="94">
        <v>5348000</v>
      </c>
      <c r="BA14" s="94">
        <v>7184000</v>
      </c>
      <c r="BB14" s="94">
        <v>9264000</v>
      </c>
      <c r="BC14" s="94">
        <v>10316000</v>
      </c>
      <c r="BD14" s="94">
        <f t="shared" si="14"/>
        <v>32112000</v>
      </c>
      <c r="BF14" s="94">
        <v>5886000</v>
      </c>
      <c r="BG14" s="94">
        <v>7713000</v>
      </c>
      <c r="BH14" s="94">
        <v>7376000</v>
      </c>
      <c r="BI14" s="94">
        <v>17985000</v>
      </c>
      <c r="BJ14" s="94">
        <f t="shared" si="15"/>
        <v>38960000</v>
      </c>
      <c r="BL14" s="94">
        <v>4451000</v>
      </c>
      <c r="BM14" s="94">
        <v>6346000</v>
      </c>
      <c r="BN14" s="94">
        <v>6462000</v>
      </c>
      <c r="BO14" s="94">
        <v>6001000</v>
      </c>
      <c r="BP14" s="94">
        <v>23260000</v>
      </c>
      <c r="BR14" s="94">
        <v>4342000</v>
      </c>
      <c r="BS14" s="94">
        <v>3745000</v>
      </c>
      <c r="BT14" s="94">
        <v>5945000</v>
      </c>
      <c r="BU14" s="94">
        <v>14193000</v>
      </c>
      <c r="BV14" s="94">
        <f t="shared" si="16"/>
        <v>28225000</v>
      </c>
      <c r="BX14" s="167"/>
      <c r="BZ14" s="72">
        <f t="shared" si="17"/>
        <v>10205000</v>
      </c>
      <c r="CA14" s="72">
        <f>SUM($AH14:AI14)</f>
        <v>21125000</v>
      </c>
      <c r="CB14" s="72">
        <f>SUM($AH14:AJ14)</f>
        <v>31210000</v>
      </c>
      <c r="CC14" s="72">
        <f>SUM($AH14:AK14)</f>
        <v>31210000</v>
      </c>
      <c r="CD14" s="72">
        <f t="shared" si="18"/>
        <v>31210000</v>
      </c>
      <c r="CF14" s="72">
        <f t="shared" si="19"/>
        <v>5077000</v>
      </c>
      <c r="CG14" s="72">
        <f>SUM($AN14:AO14)</f>
        <v>10370000</v>
      </c>
      <c r="CH14" s="72">
        <f>SUM($AN14:AP14)</f>
        <v>17330000</v>
      </c>
      <c r="CI14" s="72">
        <f>SUM($AN14:AQ14)</f>
        <v>27189000</v>
      </c>
      <c r="CJ14" s="72">
        <f t="shared" si="20"/>
        <v>27189000</v>
      </c>
      <c r="CL14" s="72">
        <f t="shared" si="21"/>
        <v>11656000</v>
      </c>
      <c r="CM14" s="72">
        <f>SUM($AT14:AU14)</f>
        <v>24016000</v>
      </c>
      <c r="CN14" s="72">
        <f>SUM($AT14:AV14)</f>
        <v>34670000</v>
      </c>
      <c r="CO14" s="72">
        <f>SUM($AT14:AW14)</f>
        <v>55407000</v>
      </c>
      <c r="CP14" s="72">
        <f t="shared" si="22"/>
        <v>55407000</v>
      </c>
    </row>
    <row r="15" spans="1:94" ht="23.25" customHeight="1" x14ac:dyDescent="0.25">
      <c r="A15" s="199" t="s">
        <v>281</v>
      </c>
      <c r="C15" s="94">
        <f t="shared" si="1"/>
        <v>7278000</v>
      </c>
      <c r="E15" s="94">
        <f t="shared" si="2"/>
        <v>4089000</v>
      </c>
      <c r="G15" s="94">
        <f t="shared" si="3"/>
        <v>5871000</v>
      </c>
      <c r="I15" s="94">
        <f t="shared" si="4"/>
        <v>21754000</v>
      </c>
      <c r="K15" s="94">
        <f t="shared" si="5"/>
        <v>12611000</v>
      </c>
      <c r="M15" s="94">
        <f t="shared" si="6"/>
        <v>17871000</v>
      </c>
      <c r="O15" s="198">
        <f t="shared" si="7"/>
        <v>3189000</v>
      </c>
      <c r="Q15" s="198">
        <f t="shared" si="8"/>
        <v>-1782000</v>
      </c>
      <c r="U15" s="111" t="str">
        <f t="shared" si="9"/>
        <v>increase</v>
      </c>
      <c r="W15" s="111" t="str">
        <f t="shared" si="10"/>
        <v>decrease</v>
      </c>
      <c r="AA15" s="196">
        <f t="shared" si="0"/>
        <v>9</v>
      </c>
      <c r="AC15" s="111" t="s">
        <v>186</v>
      </c>
      <c r="AD15" s="111" t="s">
        <v>279</v>
      </c>
      <c r="AF15" s="167"/>
      <c r="AH15" s="94">
        <v>7093000</v>
      </c>
      <c r="AI15" s="94">
        <v>7383000</v>
      </c>
      <c r="AJ15" s="200">
        <v>7278000</v>
      </c>
      <c r="AK15" s="94">
        <v>0</v>
      </c>
      <c r="AL15" s="94">
        <f t="shared" si="11"/>
        <v>21754000</v>
      </c>
      <c r="AN15" s="94">
        <v>3736000</v>
      </c>
      <c r="AO15" s="94">
        <v>4786000</v>
      </c>
      <c r="AP15" s="94">
        <v>4089000</v>
      </c>
      <c r="AQ15" s="94">
        <v>6337000</v>
      </c>
      <c r="AR15" s="94">
        <f t="shared" si="12"/>
        <v>18948000</v>
      </c>
      <c r="AT15" s="94">
        <v>5884000</v>
      </c>
      <c r="AU15" s="94">
        <v>6116000</v>
      </c>
      <c r="AV15" s="94">
        <v>5871000</v>
      </c>
      <c r="AW15" s="94">
        <v>11558000</v>
      </c>
      <c r="AX15" s="94">
        <f t="shared" si="13"/>
        <v>29429000</v>
      </c>
      <c r="AZ15" s="94">
        <v>6793000</v>
      </c>
      <c r="BA15" s="94">
        <v>6749000</v>
      </c>
      <c r="BB15" s="94">
        <v>7329000</v>
      </c>
      <c r="BC15" s="94">
        <v>7715000</v>
      </c>
      <c r="BD15" s="94">
        <f t="shared" si="14"/>
        <v>28586000</v>
      </c>
      <c r="BF15" s="94">
        <v>7123000</v>
      </c>
      <c r="BG15" s="94">
        <v>9233000</v>
      </c>
      <c r="BH15" s="94">
        <v>9212000</v>
      </c>
      <c r="BI15" s="94">
        <v>14833000</v>
      </c>
      <c r="BJ15" s="94">
        <f t="shared" si="15"/>
        <v>40401000</v>
      </c>
      <c r="BL15" s="94">
        <v>8920000</v>
      </c>
      <c r="BM15" s="94">
        <v>9758000</v>
      </c>
      <c r="BN15" s="94">
        <v>15670000</v>
      </c>
      <c r="BO15" s="94">
        <v>3678000</v>
      </c>
      <c r="BP15" s="94">
        <v>38026000</v>
      </c>
      <c r="BR15" s="94">
        <v>9920000</v>
      </c>
      <c r="BS15" s="94">
        <v>9854000</v>
      </c>
      <c r="BT15" s="94">
        <v>9460000</v>
      </c>
      <c r="BU15" s="94">
        <v>14736000</v>
      </c>
      <c r="BV15" s="94">
        <f t="shared" si="16"/>
        <v>43970000</v>
      </c>
      <c r="BX15" s="167"/>
      <c r="BZ15" s="72">
        <f t="shared" si="17"/>
        <v>7093000</v>
      </c>
      <c r="CA15" s="72">
        <f>SUM($AH15:AI15)</f>
        <v>14476000</v>
      </c>
      <c r="CB15" s="72">
        <f>SUM($AH15:AJ15)</f>
        <v>21754000</v>
      </c>
      <c r="CC15" s="72">
        <f>SUM($AH15:AK15)</f>
        <v>21754000</v>
      </c>
      <c r="CD15" s="72">
        <f t="shared" si="18"/>
        <v>21754000</v>
      </c>
      <c r="CF15" s="72">
        <f t="shared" si="19"/>
        <v>3736000</v>
      </c>
      <c r="CG15" s="72">
        <f>SUM($AN15:AO15)</f>
        <v>8522000</v>
      </c>
      <c r="CH15" s="72">
        <f>SUM($AN15:AP15)</f>
        <v>12611000</v>
      </c>
      <c r="CI15" s="72">
        <f>SUM($AN15:AQ15)</f>
        <v>18948000</v>
      </c>
      <c r="CJ15" s="72">
        <f t="shared" si="20"/>
        <v>18948000</v>
      </c>
      <c r="CL15" s="72">
        <f t="shared" si="21"/>
        <v>5884000</v>
      </c>
      <c r="CM15" s="72">
        <f>SUM($AT15:AU15)</f>
        <v>12000000</v>
      </c>
      <c r="CN15" s="72">
        <f>SUM($AT15:AV15)</f>
        <v>17871000</v>
      </c>
      <c r="CO15" s="72">
        <f>SUM($AT15:AW15)</f>
        <v>29429000</v>
      </c>
      <c r="CP15" s="72">
        <f t="shared" si="22"/>
        <v>29429000</v>
      </c>
    </row>
    <row r="16" spans="1:94" ht="23.25" customHeight="1" x14ac:dyDescent="0.25">
      <c r="A16" s="199" t="s">
        <v>282</v>
      </c>
      <c r="C16" s="94">
        <f t="shared" si="1"/>
        <v>7942000</v>
      </c>
      <c r="E16" s="94">
        <f t="shared" si="2"/>
        <v>5631000</v>
      </c>
      <c r="G16" s="94">
        <f t="shared" si="3"/>
        <v>11891000</v>
      </c>
      <c r="I16" s="94">
        <f t="shared" si="4"/>
        <v>26299000</v>
      </c>
      <c r="K16" s="94">
        <f t="shared" si="5"/>
        <v>14508000</v>
      </c>
      <c r="M16" s="94">
        <f t="shared" si="6"/>
        <v>24937000</v>
      </c>
      <c r="O16" s="198">
        <f t="shared" si="7"/>
        <v>2311000</v>
      </c>
      <c r="Q16" s="198">
        <f t="shared" si="8"/>
        <v>-6260000</v>
      </c>
      <c r="U16" s="111" t="str">
        <f t="shared" si="9"/>
        <v>increase</v>
      </c>
      <c r="W16" s="111" t="str">
        <f t="shared" si="10"/>
        <v>decrease</v>
      </c>
      <c r="AA16" s="196">
        <f t="shared" si="0"/>
        <v>10</v>
      </c>
      <c r="AC16" s="111" t="s">
        <v>187</v>
      </c>
      <c r="AD16" s="111" t="s">
        <v>279</v>
      </c>
      <c r="AF16" s="167"/>
      <c r="AH16" s="94">
        <v>9091000</v>
      </c>
      <c r="AI16" s="94">
        <v>9266000</v>
      </c>
      <c r="AJ16" s="200">
        <v>7942000</v>
      </c>
      <c r="AK16" s="94">
        <v>0</v>
      </c>
      <c r="AL16" s="94">
        <f t="shared" si="11"/>
        <v>26299000</v>
      </c>
      <c r="AN16" s="94">
        <v>3850000</v>
      </c>
      <c r="AO16" s="94">
        <v>5027000</v>
      </c>
      <c r="AP16" s="94">
        <v>5631000</v>
      </c>
      <c r="AQ16" s="94">
        <v>7106000</v>
      </c>
      <c r="AR16" s="94">
        <f t="shared" si="12"/>
        <v>21614000</v>
      </c>
      <c r="AT16" s="94">
        <v>5522000</v>
      </c>
      <c r="AU16" s="94">
        <v>7524000</v>
      </c>
      <c r="AV16" s="94">
        <v>11891000</v>
      </c>
      <c r="AW16" s="94">
        <v>9710000</v>
      </c>
      <c r="AX16" s="94">
        <f t="shared" si="13"/>
        <v>34647000</v>
      </c>
      <c r="AZ16" s="94">
        <v>5565000</v>
      </c>
      <c r="BA16" s="94">
        <v>4340000</v>
      </c>
      <c r="BB16" s="94">
        <v>5997000</v>
      </c>
      <c r="BC16" s="94">
        <v>6546000</v>
      </c>
      <c r="BD16" s="94">
        <f t="shared" si="14"/>
        <v>22448000</v>
      </c>
      <c r="BF16" s="94">
        <v>2701000</v>
      </c>
      <c r="BG16" s="94">
        <v>6345000</v>
      </c>
      <c r="BH16" s="94">
        <v>6318000</v>
      </c>
      <c r="BI16" s="94">
        <v>11682000</v>
      </c>
      <c r="BJ16" s="94">
        <f t="shared" si="15"/>
        <v>27046000</v>
      </c>
      <c r="BL16" s="94">
        <v>4504000</v>
      </c>
      <c r="BM16" s="94">
        <v>6190000</v>
      </c>
      <c r="BN16" s="94">
        <v>7135000</v>
      </c>
      <c r="BO16" s="94">
        <v>6563000</v>
      </c>
      <c r="BP16" s="94">
        <v>24392000</v>
      </c>
      <c r="BR16" s="94">
        <v>2824000</v>
      </c>
      <c r="BS16" s="94">
        <v>3286000</v>
      </c>
      <c r="BT16" s="94">
        <v>9625000</v>
      </c>
      <c r="BU16" s="94">
        <v>10083000</v>
      </c>
      <c r="BV16" s="94">
        <f t="shared" si="16"/>
        <v>25818000</v>
      </c>
      <c r="BX16" s="167"/>
      <c r="BZ16" s="72">
        <f t="shared" si="17"/>
        <v>9091000</v>
      </c>
      <c r="CA16" s="72">
        <f>SUM($AH16:AI16)</f>
        <v>18357000</v>
      </c>
      <c r="CB16" s="72">
        <f>SUM($AH16:AJ16)</f>
        <v>26299000</v>
      </c>
      <c r="CC16" s="72">
        <f>SUM($AH16:AK16)</f>
        <v>26299000</v>
      </c>
      <c r="CD16" s="72">
        <f t="shared" si="18"/>
        <v>26299000</v>
      </c>
      <c r="CF16" s="72">
        <f t="shared" si="19"/>
        <v>3850000</v>
      </c>
      <c r="CG16" s="72">
        <f>SUM($AN16:AO16)</f>
        <v>8877000</v>
      </c>
      <c r="CH16" s="72">
        <f>SUM($AN16:AP16)</f>
        <v>14508000</v>
      </c>
      <c r="CI16" s="72">
        <f>SUM($AN16:AQ16)</f>
        <v>21614000</v>
      </c>
      <c r="CJ16" s="72">
        <f t="shared" si="20"/>
        <v>21614000</v>
      </c>
      <c r="CL16" s="72">
        <f t="shared" si="21"/>
        <v>5522000</v>
      </c>
      <c r="CM16" s="72">
        <f>SUM($AT16:AU16)</f>
        <v>13046000</v>
      </c>
      <c r="CN16" s="72">
        <f>SUM($AT16:AV16)</f>
        <v>24937000</v>
      </c>
      <c r="CO16" s="72">
        <f>SUM($AT16:AW16)</f>
        <v>34647000</v>
      </c>
      <c r="CP16" s="72">
        <f t="shared" si="22"/>
        <v>34647000</v>
      </c>
    </row>
    <row r="17" spans="1:94" ht="15.75" customHeight="1" x14ac:dyDescent="0.25">
      <c r="A17" s="199" t="s">
        <v>283</v>
      </c>
      <c r="C17" s="94">
        <f t="shared" si="1"/>
        <v>0</v>
      </c>
      <c r="E17" s="94">
        <f t="shared" si="2"/>
        <v>0</v>
      </c>
      <c r="G17" s="94">
        <f t="shared" si="3"/>
        <v>0</v>
      </c>
      <c r="I17" s="94">
        <f t="shared" si="4"/>
        <v>0</v>
      </c>
      <c r="K17" s="94">
        <f t="shared" si="5"/>
        <v>0</v>
      </c>
      <c r="M17" s="94">
        <f t="shared" si="6"/>
        <v>0</v>
      </c>
      <c r="O17" s="198">
        <f t="shared" si="7"/>
        <v>0</v>
      </c>
      <c r="Q17" s="198">
        <f t="shared" si="8"/>
        <v>0</v>
      </c>
      <c r="U17" s="111" t="str">
        <f t="shared" si="9"/>
        <v>decrease</v>
      </c>
      <c r="W17" s="111" t="str">
        <f t="shared" si="10"/>
        <v>decrease</v>
      </c>
      <c r="AA17" s="196">
        <f t="shared" si="0"/>
        <v>11</v>
      </c>
      <c r="AC17" s="111" t="s">
        <v>181</v>
      </c>
      <c r="AD17" s="111" t="s">
        <v>284</v>
      </c>
      <c r="AF17" s="167"/>
      <c r="AH17" s="94">
        <v>0</v>
      </c>
      <c r="AI17" s="94">
        <v>0</v>
      </c>
      <c r="AJ17" s="200">
        <v>0</v>
      </c>
      <c r="AK17" s="94">
        <v>0</v>
      </c>
      <c r="AL17" s="94">
        <f t="shared" si="11"/>
        <v>0</v>
      </c>
      <c r="AN17" s="94">
        <v>0</v>
      </c>
      <c r="AO17" s="94">
        <v>0</v>
      </c>
      <c r="AP17" s="94">
        <v>0</v>
      </c>
      <c r="AQ17" s="94">
        <v>0</v>
      </c>
      <c r="AR17" s="94">
        <f t="shared" si="12"/>
        <v>0</v>
      </c>
      <c r="AT17" s="94">
        <v>0</v>
      </c>
      <c r="AX17" s="94">
        <f t="shared" si="13"/>
        <v>0</v>
      </c>
      <c r="AZ17" s="94">
        <v>0</v>
      </c>
      <c r="BA17" s="94">
        <v>0</v>
      </c>
      <c r="BB17" s="94">
        <v>0</v>
      </c>
      <c r="BC17" s="94">
        <v>0</v>
      </c>
      <c r="BD17" s="94">
        <f t="shared" si="14"/>
        <v>0</v>
      </c>
      <c r="BF17" s="94">
        <v>0</v>
      </c>
      <c r="BG17" s="94">
        <v>0</v>
      </c>
      <c r="BH17" s="94">
        <v>0</v>
      </c>
      <c r="BI17" s="94">
        <v>0</v>
      </c>
      <c r="BJ17" s="94">
        <f t="shared" si="15"/>
        <v>0</v>
      </c>
      <c r="BL17" s="94">
        <v>1487000</v>
      </c>
      <c r="BM17" s="94">
        <v>1245000</v>
      </c>
      <c r="BN17" s="94">
        <v>0</v>
      </c>
      <c r="BO17" s="94">
        <v>0</v>
      </c>
      <c r="BP17" s="94">
        <v>2732000</v>
      </c>
      <c r="BR17" s="94">
        <v>0</v>
      </c>
      <c r="BS17" s="94">
        <v>0</v>
      </c>
      <c r="BT17" s="94">
        <v>1527000</v>
      </c>
      <c r="BU17" s="94">
        <v>1445000</v>
      </c>
      <c r="BV17" s="94">
        <f t="shared" si="16"/>
        <v>2972000</v>
      </c>
      <c r="BX17" s="167"/>
      <c r="BZ17" s="72">
        <f t="shared" si="17"/>
        <v>0</v>
      </c>
      <c r="CA17" s="72">
        <f>SUM($AH17:AI17)</f>
        <v>0</v>
      </c>
      <c r="CB17" s="72">
        <f>SUM($AH17:AJ17)</f>
        <v>0</v>
      </c>
      <c r="CC17" s="72">
        <f>SUM($AH17:AK17)</f>
        <v>0</v>
      </c>
      <c r="CD17" s="72">
        <f t="shared" si="18"/>
        <v>0</v>
      </c>
      <c r="CF17" s="72">
        <f t="shared" si="19"/>
        <v>0</v>
      </c>
      <c r="CG17" s="72">
        <f>SUM($AN17:AO17)</f>
        <v>0</v>
      </c>
      <c r="CH17" s="72">
        <f>SUM($AN17:AP17)</f>
        <v>0</v>
      </c>
      <c r="CI17" s="72">
        <f>SUM($AN17:AQ17)</f>
        <v>0</v>
      </c>
      <c r="CJ17" s="72">
        <f t="shared" si="20"/>
        <v>0</v>
      </c>
      <c r="CL17" s="72">
        <f t="shared" si="21"/>
        <v>0</v>
      </c>
      <c r="CM17" s="72">
        <f>SUM($AT17:AU17)</f>
        <v>0</v>
      </c>
      <c r="CN17" s="72">
        <f>SUM($AT17:AV17)</f>
        <v>0</v>
      </c>
      <c r="CO17" s="72">
        <f>SUM($AT17:AW17)</f>
        <v>0</v>
      </c>
      <c r="CP17" s="72">
        <f t="shared" si="22"/>
        <v>0</v>
      </c>
    </row>
    <row r="18" spans="1:94" ht="23.25" customHeight="1" x14ac:dyDescent="0.25">
      <c r="A18" s="199" t="s">
        <v>285</v>
      </c>
      <c r="C18" s="94">
        <f t="shared" si="1"/>
        <v>0</v>
      </c>
      <c r="E18" s="94">
        <f t="shared" si="2"/>
        <v>0</v>
      </c>
      <c r="G18" s="94">
        <f t="shared" si="3"/>
        <v>0</v>
      </c>
      <c r="I18" s="94">
        <f t="shared" si="4"/>
        <v>0</v>
      </c>
      <c r="K18" s="94">
        <f t="shared" si="5"/>
        <v>0</v>
      </c>
      <c r="M18" s="94">
        <f t="shared" si="6"/>
        <v>0</v>
      </c>
      <c r="O18" s="198">
        <f t="shared" si="7"/>
        <v>0</v>
      </c>
      <c r="Q18" s="198">
        <f t="shared" si="8"/>
        <v>0</v>
      </c>
      <c r="U18" s="111" t="str">
        <f t="shared" si="9"/>
        <v>decrease</v>
      </c>
      <c r="W18" s="111" t="str">
        <f t="shared" si="10"/>
        <v>decrease</v>
      </c>
      <c r="AA18" s="196">
        <f t="shared" si="0"/>
        <v>12</v>
      </c>
      <c r="AC18" s="111" t="s">
        <v>187</v>
      </c>
      <c r="AD18" s="111" t="s">
        <v>284</v>
      </c>
      <c r="AF18" s="167"/>
      <c r="AH18" s="94">
        <v>0</v>
      </c>
      <c r="AI18" s="94">
        <v>0</v>
      </c>
      <c r="AJ18" s="200">
        <v>0</v>
      </c>
      <c r="AK18" s="94">
        <v>0</v>
      </c>
      <c r="AL18" s="94">
        <f t="shared" si="11"/>
        <v>0</v>
      </c>
      <c r="AN18" s="94">
        <v>0</v>
      </c>
      <c r="AO18" s="94">
        <v>0</v>
      </c>
      <c r="AP18" s="94">
        <v>0</v>
      </c>
      <c r="AQ18" s="94">
        <v>0</v>
      </c>
      <c r="AR18" s="94">
        <f t="shared" si="12"/>
        <v>0</v>
      </c>
      <c r="AT18" s="94">
        <v>0</v>
      </c>
      <c r="AX18" s="94">
        <f t="shared" si="13"/>
        <v>0</v>
      </c>
      <c r="AZ18" s="94">
        <v>0</v>
      </c>
      <c r="BA18" s="94">
        <v>0</v>
      </c>
      <c r="BB18" s="94">
        <v>0</v>
      </c>
      <c r="BC18" s="94">
        <v>0</v>
      </c>
      <c r="BD18" s="94">
        <f t="shared" si="14"/>
        <v>0</v>
      </c>
      <c r="BF18" s="94">
        <v>0</v>
      </c>
      <c r="BG18" s="94">
        <v>0</v>
      </c>
      <c r="BH18" s="94">
        <v>0</v>
      </c>
      <c r="BI18" s="94">
        <v>0</v>
      </c>
      <c r="BJ18" s="94">
        <f t="shared" si="15"/>
        <v>0</v>
      </c>
      <c r="BL18" s="94">
        <v>419000</v>
      </c>
      <c r="BM18" s="94">
        <v>418000</v>
      </c>
      <c r="BN18" s="94">
        <v>0</v>
      </c>
      <c r="BO18" s="94">
        <v>0</v>
      </c>
      <c r="BP18" s="94">
        <v>837000</v>
      </c>
      <c r="BR18" s="94">
        <v>0</v>
      </c>
      <c r="BS18" s="94">
        <v>0</v>
      </c>
      <c r="BT18" s="94">
        <v>432000</v>
      </c>
      <c r="BU18" s="94">
        <v>408000</v>
      </c>
      <c r="BV18" s="94">
        <f t="shared" si="16"/>
        <v>840000</v>
      </c>
      <c r="BX18" s="167"/>
      <c r="BZ18" s="72">
        <f t="shared" si="17"/>
        <v>0</v>
      </c>
      <c r="CA18" s="72">
        <f>SUM($AH18:AI18)</f>
        <v>0</v>
      </c>
      <c r="CB18" s="72">
        <f>SUM($AH18:AJ18)</f>
        <v>0</v>
      </c>
      <c r="CC18" s="72">
        <f>SUM($AH18:AK18)</f>
        <v>0</v>
      </c>
      <c r="CD18" s="72">
        <f t="shared" si="18"/>
        <v>0</v>
      </c>
      <c r="CF18" s="72">
        <f t="shared" si="19"/>
        <v>0</v>
      </c>
      <c r="CG18" s="72">
        <f>SUM($AN18:AO18)</f>
        <v>0</v>
      </c>
      <c r="CH18" s="72">
        <f>SUM($AN18:AP18)</f>
        <v>0</v>
      </c>
      <c r="CI18" s="72">
        <f>SUM($AN18:AQ18)</f>
        <v>0</v>
      </c>
      <c r="CJ18" s="72">
        <f t="shared" si="20"/>
        <v>0</v>
      </c>
      <c r="CL18" s="72">
        <f t="shared" si="21"/>
        <v>0</v>
      </c>
      <c r="CM18" s="72">
        <f>SUM($AT18:AU18)</f>
        <v>0</v>
      </c>
      <c r="CN18" s="72">
        <f>SUM($AT18:AV18)</f>
        <v>0</v>
      </c>
      <c r="CO18" s="72">
        <f>SUM($AT18:AW18)</f>
        <v>0</v>
      </c>
      <c r="CP18" s="72">
        <f t="shared" si="22"/>
        <v>0</v>
      </c>
    </row>
    <row r="19" spans="1:94" ht="23.25" customHeight="1" x14ac:dyDescent="0.25">
      <c r="A19" s="199" t="s">
        <v>286</v>
      </c>
      <c r="C19" s="94">
        <f t="shared" si="1"/>
        <v>149000</v>
      </c>
      <c r="E19" s="94">
        <f t="shared" si="2"/>
        <v>2502000</v>
      </c>
      <c r="G19" s="94">
        <f t="shared" si="3"/>
        <v>11743000</v>
      </c>
      <c r="I19" s="94">
        <f t="shared" si="4"/>
        <v>752000</v>
      </c>
      <c r="K19" s="94">
        <f t="shared" si="5"/>
        <v>9192000</v>
      </c>
      <c r="M19" s="94">
        <f t="shared" si="6"/>
        <v>25593000</v>
      </c>
      <c r="O19" s="198">
        <f t="shared" si="7"/>
        <v>-2353000</v>
      </c>
      <c r="Q19" s="198">
        <f t="shared" si="8"/>
        <v>-9241000</v>
      </c>
      <c r="U19" s="111" t="str">
        <f t="shared" si="9"/>
        <v>decrease</v>
      </c>
      <c r="W19" s="111" t="str">
        <f t="shared" si="10"/>
        <v>decrease</v>
      </c>
      <c r="AA19" s="196">
        <f t="shared" si="0"/>
        <v>13</v>
      </c>
      <c r="AC19" s="111" t="s">
        <v>188</v>
      </c>
      <c r="AD19" s="111" t="s">
        <v>287</v>
      </c>
      <c r="AF19" s="167"/>
      <c r="AH19" s="94">
        <v>206000</v>
      </c>
      <c r="AI19" s="94">
        <v>397000</v>
      </c>
      <c r="AJ19" s="200">
        <v>149000</v>
      </c>
      <c r="AK19" s="94">
        <v>0</v>
      </c>
      <c r="AL19" s="94">
        <f t="shared" si="11"/>
        <v>752000</v>
      </c>
      <c r="AN19" s="94">
        <v>116000</v>
      </c>
      <c r="AO19" s="94">
        <v>6574000</v>
      </c>
      <c r="AP19" s="94">
        <v>2502000</v>
      </c>
      <c r="AQ19" s="94">
        <v>2516000</v>
      </c>
      <c r="AR19" s="94">
        <f t="shared" si="12"/>
        <v>11708000</v>
      </c>
      <c r="AT19" s="94">
        <v>739000</v>
      </c>
      <c r="AU19" s="94">
        <v>13111000</v>
      </c>
      <c r="AV19" s="94">
        <v>11743000</v>
      </c>
      <c r="AW19" s="94">
        <v>9723000</v>
      </c>
      <c r="AX19" s="94">
        <f t="shared" si="13"/>
        <v>35316000</v>
      </c>
      <c r="AZ19" s="94">
        <v>1278000</v>
      </c>
      <c r="BA19" s="94">
        <v>18000</v>
      </c>
      <c r="BB19" s="94">
        <v>0</v>
      </c>
      <c r="BC19" s="94">
        <v>183000</v>
      </c>
      <c r="BD19" s="94">
        <f t="shared" si="14"/>
        <v>1479000</v>
      </c>
      <c r="BF19" s="94">
        <v>1995000</v>
      </c>
      <c r="BG19" s="94">
        <v>-619000</v>
      </c>
      <c r="BH19" s="94">
        <v>-6000</v>
      </c>
      <c r="BI19" s="94">
        <v>1345000</v>
      </c>
      <c r="BJ19" s="94">
        <f t="shared" si="15"/>
        <v>2715000</v>
      </c>
      <c r="BL19" s="94">
        <v>2276000</v>
      </c>
      <c r="BM19" s="94">
        <v>45000</v>
      </c>
      <c r="BN19" s="94">
        <v>233000</v>
      </c>
      <c r="BO19" s="94">
        <v>2447000</v>
      </c>
      <c r="BP19" s="94">
        <v>5001000</v>
      </c>
      <c r="BR19" s="94">
        <v>1000</v>
      </c>
      <c r="BS19" s="94">
        <v>489000</v>
      </c>
      <c r="BT19" s="94">
        <v>5043000</v>
      </c>
      <c r="BU19" s="94">
        <v>14400000</v>
      </c>
      <c r="BV19" s="94">
        <f t="shared" si="16"/>
        <v>19933000</v>
      </c>
      <c r="BX19" s="167"/>
      <c r="BZ19" s="72">
        <f t="shared" si="17"/>
        <v>206000</v>
      </c>
      <c r="CA19" s="72">
        <f>SUM($AH19:AI19)</f>
        <v>603000</v>
      </c>
      <c r="CB19" s="72">
        <f>SUM($AH19:AJ19)</f>
        <v>752000</v>
      </c>
      <c r="CC19" s="72">
        <f>SUM($AH19:AK19)</f>
        <v>752000</v>
      </c>
      <c r="CD19" s="72">
        <f t="shared" si="18"/>
        <v>752000</v>
      </c>
      <c r="CF19" s="72">
        <f t="shared" si="19"/>
        <v>116000</v>
      </c>
      <c r="CG19" s="72">
        <f>SUM($AN19:AO19)</f>
        <v>6690000</v>
      </c>
      <c r="CH19" s="72">
        <f>SUM($AN19:AP19)</f>
        <v>9192000</v>
      </c>
      <c r="CI19" s="72">
        <f>SUM($AN19:AQ19)</f>
        <v>11708000</v>
      </c>
      <c r="CJ19" s="72">
        <f t="shared" si="20"/>
        <v>11708000</v>
      </c>
      <c r="CL19" s="72">
        <f t="shared" si="21"/>
        <v>739000</v>
      </c>
      <c r="CM19" s="72">
        <f>SUM($AT19:AU19)</f>
        <v>13850000</v>
      </c>
      <c r="CN19" s="72">
        <f>SUM($AT19:AV19)</f>
        <v>25593000</v>
      </c>
      <c r="CO19" s="72">
        <f>SUM($AT19:AW19)</f>
        <v>35316000</v>
      </c>
      <c r="CP19" s="72">
        <f t="shared" si="22"/>
        <v>35316000</v>
      </c>
    </row>
    <row r="20" spans="1:94" ht="23.25" customHeight="1" x14ac:dyDescent="0.25">
      <c r="A20" s="199" t="s">
        <v>288</v>
      </c>
      <c r="C20" s="94">
        <f t="shared" si="1"/>
        <v>0</v>
      </c>
      <c r="E20" s="94">
        <f t="shared" si="2"/>
        <v>0</v>
      </c>
      <c r="G20" s="94">
        <f t="shared" si="3"/>
        <v>4112000</v>
      </c>
      <c r="I20" s="94">
        <f t="shared" si="4"/>
        <v>0</v>
      </c>
      <c r="K20" s="94">
        <f t="shared" si="5"/>
        <v>1875000</v>
      </c>
      <c r="M20" s="94">
        <f t="shared" si="6"/>
        <v>5362000</v>
      </c>
      <c r="O20" s="198">
        <f t="shared" si="7"/>
        <v>0</v>
      </c>
      <c r="Q20" s="198">
        <f t="shared" si="8"/>
        <v>-4112000</v>
      </c>
      <c r="U20" s="111" t="str">
        <f t="shared" si="9"/>
        <v>decrease</v>
      </c>
      <c r="W20" s="111" t="str">
        <f t="shared" si="10"/>
        <v>decrease</v>
      </c>
      <c r="AA20" s="196">
        <f t="shared" si="0"/>
        <v>14</v>
      </c>
      <c r="AC20" s="111" t="s">
        <v>187</v>
      </c>
      <c r="AD20" s="111" t="s">
        <v>289</v>
      </c>
      <c r="AF20" s="167"/>
      <c r="AH20" s="94">
        <v>0</v>
      </c>
      <c r="AJ20" s="200">
        <v>0</v>
      </c>
      <c r="AK20" s="94">
        <v>0</v>
      </c>
      <c r="AL20" s="94">
        <f t="shared" si="11"/>
        <v>0</v>
      </c>
      <c r="AN20" s="94">
        <v>1875000</v>
      </c>
      <c r="AO20" s="94">
        <v>0</v>
      </c>
      <c r="AP20" s="94">
        <v>0</v>
      </c>
      <c r="AQ20" s="94">
        <v>0</v>
      </c>
      <c r="AR20" s="94">
        <f t="shared" si="12"/>
        <v>1875000</v>
      </c>
      <c r="AT20" s="94">
        <v>0</v>
      </c>
      <c r="AU20" s="94">
        <v>1250000</v>
      </c>
      <c r="AV20" s="94">
        <v>4112000</v>
      </c>
      <c r="AW20" s="94">
        <v>3663000</v>
      </c>
      <c r="AX20" s="94">
        <f t="shared" si="13"/>
        <v>9025000</v>
      </c>
      <c r="AZ20" s="94">
        <v>0</v>
      </c>
      <c r="BA20" s="94">
        <v>0</v>
      </c>
      <c r="BB20" s="94">
        <v>0</v>
      </c>
      <c r="BC20" s="94">
        <v>0</v>
      </c>
      <c r="BD20" s="94">
        <f t="shared" si="14"/>
        <v>0</v>
      </c>
      <c r="BF20" s="94">
        <v>3605000</v>
      </c>
      <c r="BG20" s="94">
        <v>258000</v>
      </c>
      <c r="BH20" s="94">
        <v>0</v>
      </c>
      <c r="BI20" s="94">
        <v>0</v>
      </c>
      <c r="BJ20" s="94">
        <f t="shared" si="15"/>
        <v>3863000</v>
      </c>
      <c r="BL20" s="94">
        <v>0</v>
      </c>
      <c r="BM20" s="94">
        <v>0</v>
      </c>
      <c r="BN20" s="94">
        <v>0</v>
      </c>
      <c r="BO20" s="94">
        <v>0</v>
      </c>
      <c r="BP20" s="94">
        <v>0</v>
      </c>
      <c r="BR20" s="94">
        <v>0</v>
      </c>
      <c r="BS20" s="94">
        <v>2122000</v>
      </c>
      <c r="BT20" s="94">
        <v>700000</v>
      </c>
      <c r="BU20" s="94">
        <v>-705000</v>
      </c>
      <c r="BV20" s="94">
        <f t="shared" si="16"/>
        <v>2117000</v>
      </c>
      <c r="BX20" s="167"/>
      <c r="BZ20" s="72">
        <f t="shared" si="17"/>
        <v>0</v>
      </c>
      <c r="CA20" s="72">
        <f>SUM($AH20:AI20)</f>
        <v>0</v>
      </c>
      <c r="CB20" s="72">
        <f>SUM($AH20:AJ20)</f>
        <v>0</v>
      </c>
      <c r="CC20" s="72">
        <f>SUM($AH20:AK20)</f>
        <v>0</v>
      </c>
      <c r="CD20" s="72">
        <f t="shared" si="18"/>
        <v>0</v>
      </c>
      <c r="CF20" s="72">
        <f t="shared" si="19"/>
        <v>1875000</v>
      </c>
      <c r="CG20" s="72">
        <f>SUM($AN20:AO20)</f>
        <v>1875000</v>
      </c>
      <c r="CH20" s="72">
        <f>SUM($AN20:AP20)</f>
        <v>1875000</v>
      </c>
      <c r="CI20" s="72">
        <f>SUM($AN20:AQ20)</f>
        <v>1875000</v>
      </c>
      <c r="CJ20" s="72">
        <f t="shared" si="20"/>
        <v>1875000</v>
      </c>
      <c r="CL20" s="72">
        <f t="shared" si="21"/>
        <v>0</v>
      </c>
      <c r="CM20" s="72">
        <f>SUM($AT20:AU20)</f>
        <v>1250000</v>
      </c>
      <c r="CN20" s="72">
        <f>SUM($AT20:AV20)</f>
        <v>5362000</v>
      </c>
      <c r="CO20" s="72">
        <f>SUM($AT20:AW20)</f>
        <v>9025000</v>
      </c>
      <c r="CP20" s="72">
        <f t="shared" si="22"/>
        <v>9025000</v>
      </c>
    </row>
    <row r="21" spans="1:94" ht="23.25" customHeight="1" x14ac:dyDescent="0.25">
      <c r="A21" s="201" t="s">
        <v>290</v>
      </c>
      <c r="C21" s="157">
        <f t="shared" si="1"/>
        <v>0</v>
      </c>
      <c r="E21" s="157">
        <f t="shared" si="2"/>
        <v>0</v>
      </c>
      <c r="G21" s="157">
        <f t="shared" si="3"/>
        <v>0</v>
      </c>
      <c r="I21" s="157">
        <f t="shared" si="4"/>
        <v>0</v>
      </c>
      <c r="K21" s="157">
        <f t="shared" si="5"/>
        <v>0</v>
      </c>
      <c r="M21" s="157">
        <f t="shared" si="6"/>
        <v>0</v>
      </c>
      <c r="O21" s="198">
        <f t="shared" si="7"/>
        <v>0</v>
      </c>
      <c r="Q21" s="198">
        <f t="shared" si="8"/>
        <v>0</v>
      </c>
      <c r="U21" s="111" t="str">
        <f t="shared" si="9"/>
        <v>decrease</v>
      </c>
      <c r="W21" s="111" t="str">
        <f t="shared" si="10"/>
        <v>decrease</v>
      </c>
      <c r="AA21" s="196">
        <f t="shared" si="0"/>
        <v>15</v>
      </c>
      <c r="AF21" s="172"/>
      <c r="AH21" s="75">
        <v>0</v>
      </c>
      <c r="AJ21" s="202">
        <v>0</v>
      </c>
      <c r="AK21" s="75">
        <v>0</v>
      </c>
      <c r="AL21" s="157">
        <f t="shared" si="11"/>
        <v>0</v>
      </c>
      <c r="AN21" s="75">
        <v>0</v>
      </c>
      <c r="AO21" s="75">
        <v>0</v>
      </c>
      <c r="AP21" s="75">
        <v>0</v>
      </c>
      <c r="AQ21" s="75">
        <v>0</v>
      </c>
      <c r="AR21" s="157">
        <f t="shared" si="12"/>
        <v>0</v>
      </c>
      <c r="AT21" s="75">
        <v>0</v>
      </c>
      <c r="AU21" s="75">
        <v>0</v>
      </c>
      <c r="AV21" s="75">
        <v>0</v>
      </c>
      <c r="AW21" s="75">
        <v>0</v>
      </c>
      <c r="AX21" s="157">
        <f t="shared" si="13"/>
        <v>0</v>
      </c>
      <c r="AZ21" s="75">
        <v>-30052000</v>
      </c>
      <c r="BA21" s="75">
        <v>0</v>
      </c>
      <c r="BB21" s="75">
        <v>-183000</v>
      </c>
      <c r="BC21" s="75">
        <v>0</v>
      </c>
      <c r="BD21" s="157">
        <f t="shared" si="14"/>
        <v>-30235000</v>
      </c>
      <c r="BF21" s="75">
        <v>0</v>
      </c>
      <c r="BG21" s="75">
        <v>0</v>
      </c>
      <c r="BH21" s="75">
        <v>0</v>
      </c>
      <c r="BI21" s="75">
        <v>0</v>
      </c>
      <c r="BJ21" s="157">
        <f t="shared" si="15"/>
        <v>0</v>
      </c>
      <c r="BX21" s="172"/>
      <c r="BZ21" s="75">
        <f t="shared" si="17"/>
        <v>0</v>
      </c>
      <c r="CA21" s="75">
        <f>SUM($AH21:AI21)</f>
        <v>0</v>
      </c>
      <c r="CB21" s="75">
        <f>SUM($AH21:AJ21)</f>
        <v>0</v>
      </c>
      <c r="CC21" s="75">
        <f>SUM($AH21:AK21)</f>
        <v>0</v>
      </c>
      <c r="CD21" s="75">
        <f t="shared" si="18"/>
        <v>0</v>
      </c>
      <c r="CF21" s="75">
        <f t="shared" si="19"/>
        <v>0</v>
      </c>
      <c r="CG21" s="75">
        <f>SUM($AN21:AO21)</f>
        <v>0</v>
      </c>
      <c r="CH21" s="75">
        <f>SUM($AN21:AP21)</f>
        <v>0</v>
      </c>
      <c r="CI21" s="75">
        <f>SUM($AN21:AQ21)</f>
        <v>0</v>
      </c>
      <c r="CJ21" s="75">
        <f t="shared" si="20"/>
        <v>0</v>
      </c>
      <c r="CL21" s="75">
        <f t="shared" si="21"/>
        <v>0</v>
      </c>
      <c r="CM21" s="75">
        <f>SUM($AT21:AU21)</f>
        <v>0</v>
      </c>
      <c r="CN21" s="75">
        <f>SUM($AT21:AV21)</f>
        <v>0</v>
      </c>
      <c r="CO21" s="75">
        <f>SUM($AT21:AW21)</f>
        <v>0</v>
      </c>
      <c r="CP21" s="75">
        <f t="shared" si="22"/>
        <v>0</v>
      </c>
    </row>
    <row r="22" spans="1:94" ht="15.75" customHeight="1" x14ac:dyDescent="0.25">
      <c r="A22" s="22" t="s">
        <v>291</v>
      </c>
      <c r="C22" s="88">
        <f>SUM(C12:C21)</f>
        <v>30595000</v>
      </c>
      <c r="D22" s="163"/>
      <c r="E22" s="88">
        <f>SUM(E12:E21)</f>
        <v>21180000</v>
      </c>
      <c r="F22" s="163"/>
      <c r="G22" s="88">
        <f>SUM(G12:G21)</f>
        <v>49688000</v>
      </c>
      <c r="I22" s="88">
        <f>SUM(I12:I21)</f>
        <v>95845000</v>
      </c>
      <c r="K22" s="88">
        <f>SUM(K12:K21)</f>
        <v>63279000</v>
      </c>
      <c r="M22" s="88">
        <f>SUM(M12:M21)</f>
        <v>125586000</v>
      </c>
      <c r="O22" s="198">
        <f t="shared" si="7"/>
        <v>9415000</v>
      </c>
      <c r="Q22" s="198">
        <f t="shared" si="8"/>
        <v>-28508000</v>
      </c>
      <c r="U22" s="111" t="str">
        <f t="shared" si="9"/>
        <v>increase</v>
      </c>
      <c r="W22" s="111" t="str">
        <f t="shared" si="10"/>
        <v>decrease</v>
      </c>
      <c r="AA22" s="196">
        <f t="shared" si="0"/>
        <v>16</v>
      </c>
      <c r="AF22" s="172"/>
      <c r="AH22" s="131">
        <f>SUM(AH12:AH21)</f>
        <v>32037000</v>
      </c>
      <c r="AI22" s="131">
        <f>SUM(AI12:AI21)</f>
        <v>33213000</v>
      </c>
      <c r="AJ22" s="131">
        <f>SUM(AJ12:AJ21)</f>
        <v>30595000</v>
      </c>
      <c r="AK22" s="131">
        <f>SUM(AK12:AK21)</f>
        <v>0</v>
      </c>
      <c r="AL22" s="131">
        <f>SUM(AL12:AL21)</f>
        <v>95845000</v>
      </c>
      <c r="AN22" s="131">
        <f>SUM(AN12:AN21)</f>
        <v>18573000</v>
      </c>
      <c r="AO22" s="131">
        <f>SUM(AO12:AO21)</f>
        <v>23526000</v>
      </c>
      <c r="AP22" s="131">
        <f>SUM(AP12:AP21)</f>
        <v>21180000</v>
      </c>
      <c r="AQ22" s="131">
        <f>SUM(AQ12:AQ21)</f>
        <v>30393000</v>
      </c>
      <c r="AR22" s="131">
        <f>SUM(AR12:AR21)</f>
        <v>93672000</v>
      </c>
      <c r="AT22" s="131">
        <f>SUM(AT12:AT21)</f>
        <v>29607000</v>
      </c>
      <c r="AU22" s="131">
        <f>SUM(AU12:AU21)</f>
        <v>46291000</v>
      </c>
      <c r="AV22" s="131">
        <f>SUM(AV12:AV21)</f>
        <v>49688000</v>
      </c>
      <c r="AW22" s="131">
        <f>SUM(AW12:AW21)</f>
        <v>61380000</v>
      </c>
      <c r="AX22" s="131">
        <f>SUM(AX12:AX21)</f>
        <v>186966000</v>
      </c>
      <c r="AZ22" s="131">
        <f>SUM(AZ12:AZ21)</f>
        <v>-5633000</v>
      </c>
      <c r="BA22" s="131">
        <f>SUM(BA12:BA21)</f>
        <v>23851000</v>
      </c>
      <c r="BB22" s="131">
        <f>SUM(BB12:BB21)</f>
        <v>28222000</v>
      </c>
      <c r="BC22" s="131">
        <f>SUM(BC12:BC21)</f>
        <v>30772000</v>
      </c>
      <c r="BD22" s="131">
        <f>SUM(BD12:BD21)</f>
        <v>77212000</v>
      </c>
      <c r="BF22" s="131">
        <f>SUM(BF12:BF21)</f>
        <v>27391000</v>
      </c>
      <c r="BG22" s="131">
        <f>SUM(BG12:BG21)</f>
        <v>28193000</v>
      </c>
      <c r="BH22" s="131">
        <f>SUM(BH12:BH21)</f>
        <v>28101000</v>
      </c>
      <c r="BI22" s="131">
        <f>SUM(BI12:BI21)</f>
        <v>52646000</v>
      </c>
      <c r="BJ22" s="131">
        <f>SUM(BJ12:BJ21)</f>
        <v>136331000</v>
      </c>
      <c r="BL22" s="131">
        <f>SUM(BL12:BL20)</f>
        <v>25935000</v>
      </c>
      <c r="BM22" s="131">
        <f>SUM(BM12:BM20)</f>
        <v>30431000</v>
      </c>
      <c r="BN22" s="131">
        <f>SUM(BN12:BN20)</f>
        <v>35897000</v>
      </c>
      <c r="BO22" s="131">
        <f>SUM(BO12:BO20)</f>
        <v>24796000</v>
      </c>
      <c r="BP22" s="131">
        <f>SUM(BP12:BP20)</f>
        <v>117059000</v>
      </c>
      <c r="BR22" s="88">
        <f>SUM(BR12:BR20)</f>
        <v>23768600</v>
      </c>
      <c r="BS22" s="88">
        <f>SUM(BS12:BS20)</f>
        <v>23826000</v>
      </c>
      <c r="BT22" s="88">
        <f>SUM(BT12:BT20)</f>
        <v>37143000</v>
      </c>
      <c r="BU22" s="88">
        <f>SUM(BU12:BU20)</f>
        <v>59704000</v>
      </c>
      <c r="BV22" s="88">
        <f>SUM(BV12:BV20)</f>
        <v>144441600</v>
      </c>
      <c r="BX22" s="172"/>
      <c r="BZ22" s="88">
        <f>SUM(BZ12:BZ21)</f>
        <v>32037000</v>
      </c>
      <c r="CA22" s="88">
        <f>SUM(CA12:CA21)</f>
        <v>65250000</v>
      </c>
      <c r="CB22" s="88">
        <f>SUM(CB12:CB21)</f>
        <v>95845000</v>
      </c>
      <c r="CC22" s="88">
        <f>SUM(CC12:CC21)</f>
        <v>95845000</v>
      </c>
      <c r="CD22" s="88">
        <f>SUM(CD12:CD21)</f>
        <v>95845000</v>
      </c>
      <c r="CF22" s="88">
        <f>SUM(CF12:CF21)</f>
        <v>18573000</v>
      </c>
      <c r="CG22" s="88">
        <f>SUM(CG12:CG21)</f>
        <v>42099000</v>
      </c>
      <c r="CH22" s="88">
        <f>SUM(CH12:CH21)</f>
        <v>63279000</v>
      </c>
      <c r="CI22" s="88">
        <f>SUM(CI12:CI21)</f>
        <v>93672000</v>
      </c>
      <c r="CJ22" s="88">
        <f>SUM(CJ12:CJ21)</f>
        <v>93672000</v>
      </c>
      <c r="CL22" s="88">
        <f>SUM(CL12:CL21)</f>
        <v>29607000</v>
      </c>
      <c r="CM22" s="88">
        <f>SUM(CM12:CM21)</f>
        <v>75898000</v>
      </c>
      <c r="CN22" s="88">
        <f>SUM(CN12:CN21)</f>
        <v>125586000</v>
      </c>
      <c r="CO22" s="88">
        <f>SUM(CO12:CO21)</f>
        <v>186966000</v>
      </c>
      <c r="CP22" s="88">
        <f>SUM(CP12:CP21)</f>
        <v>186966000</v>
      </c>
    </row>
    <row r="23" spans="1:94" ht="15" customHeight="1" x14ac:dyDescent="0.25">
      <c r="AA23" s="196">
        <f t="shared" si="0"/>
        <v>17</v>
      </c>
      <c r="AF23" s="167"/>
      <c r="BX23" s="167"/>
    </row>
    <row r="24" spans="1:94" ht="15.75" customHeight="1" x14ac:dyDescent="0.25">
      <c r="A24" s="125" t="s">
        <v>292</v>
      </c>
      <c r="C24" s="94">
        <f>HLOOKUP(C$7,$AF$7:$BW$26,$AA24,FALSE)</f>
        <v>145555000</v>
      </c>
      <c r="E24" s="94">
        <f>HLOOKUP(E$7,$AF$7:$BW$26,$AA24,FALSE)</f>
        <v>130933000</v>
      </c>
      <c r="G24" s="94">
        <f>HLOOKUP(G$7,$AF$7:$BW$26,$AA24,FALSE)</f>
        <v>120745000</v>
      </c>
      <c r="I24" s="94">
        <f>HLOOKUP(I$7,$BX$7:$CQ$26,$AA24,FALSE)</f>
        <v>414705000</v>
      </c>
      <c r="K24" s="94">
        <f>HLOOKUP(K$7,$BX$7:$CQ$26,$AA24,FALSE)</f>
        <v>363805000</v>
      </c>
      <c r="M24" s="94">
        <f>HLOOKUP(M$7,$BX$7:$CQ$26,$AA24,FALSE)</f>
        <v>338498000</v>
      </c>
      <c r="O24" s="203">
        <f>+C24-E24</f>
        <v>14622000</v>
      </c>
      <c r="Q24" s="203">
        <f>+E24-G24</f>
        <v>10188000</v>
      </c>
      <c r="U24" s="111" t="str">
        <f>IF(C24&gt;E24,"increase","decrease")</f>
        <v>increase</v>
      </c>
      <c r="W24" s="111" t="str">
        <f>IF(E24&gt;G24,"increase","decrease")</f>
        <v>increase</v>
      </c>
      <c r="AA24" s="196">
        <f t="shared" si="0"/>
        <v>18</v>
      </c>
      <c r="AF24" s="172"/>
      <c r="AH24" s="72">
        <f>+AH8+AH12+AH13+AH17</f>
        <v>129654000</v>
      </c>
      <c r="AI24" s="72">
        <f>+AI8+AI12+AI13+AI17</f>
        <v>139496000</v>
      </c>
      <c r="AJ24" s="72">
        <f>+AJ8+AJ12+AJ13+AJ17</f>
        <v>145555000</v>
      </c>
      <c r="AK24" s="72">
        <f>+AK8+AK12+AK13+AK17</f>
        <v>0</v>
      </c>
      <c r="AL24" s="72">
        <f>+AL8+AL12+AL13+AL17</f>
        <v>414705000</v>
      </c>
      <c r="AN24" s="72">
        <f>+AN8+AN12+AN13+AN17</f>
        <v>112367000</v>
      </c>
      <c r="AO24" s="72">
        <f>+AO8+AO12+AO13+AO17</f>
        <v>120505000</v>
      </c>
      <c r="AP24" s="72">
        <f>+AP8+AP12+AP13+AP17</f>
        <v>130933000</v>
      </c>
      <c r="AQ24" s="72">
        <f>+AQ8+AQ12+AQ13+AQ17</f>
        <v>128705000</v>
      </c>
      <c r="AR24" s="72">
        <f>+AR8+AR12+AR13+AR17</f>
        <v>492510000</v>
      </c>
      <c r="AT24" s="72">
        <f>+AT8+AT12+AT13+AT17</f>
        <v>107028000</v>
      </c>
      <c r="AU24" s="72">
        <f>+AU8+AU12+AU13+AU17</f>
        <v>110725000</v>
      </c>
      <c r="AV24" s="72">
        <f>+AV8+AV12+AV13+AV17</f>
        <v>120745000</v>
      </c>
      <c r="AW24" s="72">
        <f>+AW8+AW12+AW13+AW17</f>
        <v>111143000</v>
      </c>
      <c r="AX24" s="72">
        <f>+AX8+AX12+AX13+AX17</f>
        <v>449641000</v>
      </c>
      <c r="AZ24" s="72">
        <f>+AZ8+AZ12+AZ13+AZ17</f>
        <v>90158000</v>
      </c>
      <c r="BA24" s="72">
        <f>+BA8+BA12+BA13+BA17</f>
        <v>97771000</v>
      </c>
      <c r="BB24" s="72">
        <f>+BB8+BB12+BB13+BB17</f>
        <v>107862000</v>
      </c>
      <c r="BC24" s="72">
        <f>+BC8+BC12+BC13+BC17</f>
        <v>108261000</v>
      </c>
      <c r="BD24" s="72">
        <f>+BD8+BD12+BD13+BD17</f>
        <v>404052000</v>
      </c>
      <c r="BF24" s="72">
        <f>+BF8+BF12+BF13+BF17</f>
        <v>71053000</v>
      </c>
      <c r="BG24" s="72">
        <f>+BG8+BG12+BG13+BG17</f>
        <v>75027000</v>
      </c>
      <c r="BH24" s="72">
        <f>+BH8+BH12+BH13+BH17</f>
        <v>87869000</v>
      </c>
      <c r="BI24" s="72">
        <f>+BI8+BI12+BI13+BI17</f>
        <v>88419000</v>
      </c>
      <c r="BJ24" s="72">
        <f>+BJ8+BJ12+BJ13+BJ17</f>
        <v>322368000</v>
      </c>
      <c r="BL24" s="72">
        <f>+BL8+BL12+BL13+BL17</f>
        <v>51450000</v>
      </c>
      <c r="BM24" s="72">
        <f>+BM8+BM12+BM13+BM17</f>
        <v>56357000</v>
      </c>
      <c r="BN24" s="72">
        <f>+BN8+BN12+BN13+BN17</f>
        <v>70648000</v>
      </c>
      <c r="BO24" s="72">
        <f>+BO8+BO12+BO13+BO17</f>
        <v>74956000</v>
      </c>
      <c r="BP24" s="72">
        <f>+BP8+BP12+BP13+BP17</f>
        <v>253411000</v>
      </c>
      <c r="BR24" s="72">
        <f>+BR8+BR12+BR13+BR17</f>
        <v>45498600</v>
      </c>
      <c r="BS24" s="72">
        <f>+BS8+BS12+BS13+BS17</f>
        <v>44676000</v>
      </c>
      <c r="BT24" s="72">
        <f>+BT8+BT12+BT13+BT17</f>
        <v>51121000</v>
      </c>
      <c r="BU24" s="72">
        <f>+BU8+BU12+BU13+BU17</f>
        <v>47145000</v>
      </c>
      <c r="BV24" s="72">
        <f>+BV8+BV12+BV13+BV17</f>
        <v>188440600</v>
      </c>
      <c r="BX24" s="172"/>
      <c r="BZ24" s="72">
        <f>+BZ8+BZ12+BZ13+BZ17</f>
        <v>129654000</v>
      </c>
      <c r="CA24" s="72">
        <f>+CA8+CA12+CA13+CA17</f>
        <v>269150000</v>
      </c>
      <c r="CB24" s="72">
        <f>+CB8+CB12+CB13+CB17</f>
        <v>414705000</v>
      </c>
      <c r="CC24" s="72">
        <f>+CC8+CC12+CC13+CC17</f>
        <v>414705000</v>
      </c>
      <c r="CD24" s="72">
        <f>+CD8+CD12+CD13+CD17</f>
        <v>414705000</v>
      </c>
      <c r="CF24" s="72">
        <f>+CF8+CF12+CF13+CF17</f>
        <v>112367000</v>
      </c>
      <c r="CG24" s="72">
        <f>+CG8+CG12+CG13+CG17</f>
        <v>232872000</v>
      </c>
      <c r="CH24" s="72">
        <f>+CH8+CH12+CH13+CH17</f>
        <v>363805000</v>
      </c>
      <c r="CI24" s="72">
        <f>+CI8+CI12+CI13+CI17</f>
        <v>492510000</v>
      </c>
      <c r="CJ24" s="72">
        <f>+CJ8+CJ12+CJ13+CJ17</f>
        <v>492510000</v>
      </c>
      <c r="CL24" s="72">
        <f>+CL8+CL12+CL13+CL17</f>
        <v>107028000</v>
      </c>
      <c r="CM24" s="72">
        <f>+CM8+CM12+CM13+CM17</f>
        <v>217753000</v>
      </c>
      <c r="CN24" s="72">
        <f>+CN8+CN12+CN13+CN17</f>
        <v>338498000</v>
      </c>
      <c r="CO24" s="72">
        <f>+CO8+CO12+CO13+CO17</f>
        <v>449641000</v>
      </c>
      <c r="CP24" s="72">
        <f>+CP8+CP12+CP13+CP17</f>
        <v>449641000</v>
      </c>
    </row>
    <row r="25" spans="1:94" ht="15.75" customHeight="1" x14ac:dyDescent="0.25">
      <c r="A25" s="125" t="s">
        <v>183</v>
      </c>
      <c r="C25" s="197">
        <f>HLOOKUP(C$7,$AF$7:$BW$26,$AA25,FALSE)</f>
        <v>0.74486213743270624</v>
      </c>
      <c r="E25" s="197">
        <f>HLOOKUP(E$7,$AF$7:$BW$26,$AA25,FALSE)</f>
        <v>0.7530554612955731</v>
      </c>
      <c r="G25" s="197">
        <f>HLOOKUP(G$7,$AF$7:$BW$26,$AA25,FALSE)</f>
        <v>0.76124578381615859</v>
      </c>
      <c r="I25" s="197">
        <f>HLOOKUP(I$7,$BX$7:$CQ$26,$AA25,FALSE)</f>
        <v>0.74472574597382446</v>
      </c>
      <c r="K25" s="197">
        <f>HLOOKUP(K$7,$BX$7:$CQ$26,$AA25,FALSE)</f>
        <v>0.74579394804113908</v>
      </c>
      <c r="M25" s="197">
        <f>HLOOKUP(M$7,$BX$7:$CQ$26,$AA25,FALSE)</f>
        <v>0.75564842161189583</v>
      </c>
      <c r="O25" s="204">
        <f>(+C25-E25)</f>
        <v>-8.1933238628668636E-3</v>
      </c>
      <c r="P25" s="205"/>
      <c r="Q25" s="204">
        <f>(+E25-G25)</f>
        <v>-8.1903225205854913E-3</v>
      </c>
      <c r="R25" s="210"/>
      <c r="U25" s="111" t="str">
        <f>IF(C25&gt;E25,"increase","decrease")</f>
        <v>decrease</v>
      </c>
      <c r="W25" s="111" t="str">
        <f>IF(E25&gt;G25,"increase","decrease")</f>
        <v>decrease</v>
      </c>
      <c r="AA25" s="196">
        <f t="shared" si="0"/>
        <v>19</v>
      </c>
      <c r="AF25" s="172"/>
      <c r="AH25" s="126">
        <f>IFERROR(+AH24/'1.Input IS Trend &amp; EPS'!AZ9,0)</f>
        <v>0.73683373020157872</v>
      </c>
      <c r="AI25" s="126">
        <f>IFERROR(+AI24/'1.Input IS Trend &amp; EPS'!BA9,0)</f>
        <v>0.75206892275841986</v>
      </c>
      <c r="AJ25" s="126">
        <f>IFERROR(+AJ24/'1.Input IS Trend &amp; EPS'!BB9,0)</f>
        <v>0.74486213743270624</v>
      </c>
      <c r="AK25" s="126">
        <f>IFERROR(+AK24/'1.Input IS Trend &amp; EPS'!BC9,0)</f>
        <v>0</v>
      </c>
      <c r="AL25" s="126">
        <f>IFERROR(+AL24/'1.Input IS Trend &amp; EPS'!BD9,0)</f>
        <v>0.74472574597382446</v>
      </c>
      <c r="AN25" s="126">
        <f>+AN24/'1.Input IS Trend &amp; EPS'!BF9</f>
        <v>0.72932906684667265</v>
      </c>
      <c r="AO25" s="126">
        <f>+AO24/'1.Input IS Trend &amp; EPS'!BG9</f>
        <v>0.75376397220258828</v>
      </c>
      <c r="AP25" s="126">
        <f>+AP24/'1.Input IS Trend &amp; EPS'!BH9</f>
        <v>0.7530554612955731</v>
      </c>
      <c r="AQ25" s="126">
        <f>+AQ24/'1.Input IS Trend &amp; EPS'!BI9</f>
        <v>0.74892931126783513</v>
      </c>
      <c r="AR25" s="126">
        <f>+AR24/'1.Input IS Trend &amp; EPS'!BJ9</f>
        <v>0.74661075916266084</v>
      </c>
      <c r="AT25" s="126">
        <f>+AT24/'1.Input IS Trend &amp; EPS'!BL9</f>
        <v>0.75243069957748365</v>
      </c>
      <c r="AU25" s="126">
        <f>+AU24/'1.Input IS Trend &amp; EPS'!BM9</f>
        <v>0.75272435570602114</v>
      </c>
      <c r="AV25" s="126">
        <f>+AV24/'1.Input IS Trend &amp; EPS'!BN9</f>
        <v>0.76124578381615859</v>
      </c>
      <c r="AW25" s="126">
        <f>+AW24/'1.Input IS Trend &amp; EPS'!BO9</f>
        <v>0.74780321074374601</v>
      </c>
      <c r="AX25" s="126">
        <f>+AX24/'1.Input IS Trend &amp; EPS'!BP9</f>
        <v>0.75369395373317716</v>
      </c>
      <c r="AZ25" s="126">
        <f>+AZ24/'1.Input IS Trend &amp; EPS'!BR9</f>
        <v>0.75738839698247618</v>
      </c>
      <c r="BA25" s="126">
        <f>+BA24/'1.Input IS Trend &amp; EPS'!BS9</f>
        <v>0.76809647262157277</v>
      </c>
      <c r="BB25" s="126">
        <f>+BB24/'1.Input IS Trend &amp; EPS'!BT9</f>
        <v>0.76713322522830074</v>
      </c>
      <c r="BC25" s="126">
        <f>+BC24/'1.Input IS Trend &amp; EPS'!BU9</f>
        <v>0.76388075498324215</v>
      </c>
      <c r="BD25" s="126">
        <f>+BD24/'1.Input IS Trend &amp; EPS'!BV9</f>
        <v>0.76429896889665705</v>
      </c>
      <c r="BF25" s="126">
        <f>+BF24/'1.Input IS Trend &amp; EPS'!BX9</f>
        <v>0.71455293301286238</v>
      </c>
      <c r="BG25" s="126">
        <f>+BG24/'1.Input IS Trend &amp; EPS'!BY9</f>
        <v>0.71685728208215094</v>
      </c>
      <c r="BH25" s="126">
        <f>+BH24/'1.Input IS Trend &amp; EPS'!BZ9</f>
        <v>0.73375197281070204</v>
      </c>
      <c r="BI25" s="126">
        <f>+BI24/'1.Input IS Trend &amp; EPS'!CA9</f>
        <v>0.74192573945877915</v>
      </c>
      <c r="BJ25" s="126">
        <f>+BJ24/'1.Input IS Trend &amp; EPS'!CB9</f>
        <v>0.72765029591942687</v>
      </c>
      <c r="BL25" s="126">
        <f>+BL24/'1.Input IS Trend &amp; EPS'!CD9</f>
        <v>0.62355322320660278</v>
      </c>
      <c r="BM25" s="126">
        <f>+BM24/'1.Input IS Trend &amp; EPS'!CE9</f>
        <v>0.62519552266953615</v>
      </c>
      <c r="BN25" s="126">
        <f>+BN24/'1.Input IS Trend &amp; EPS'!CF9</f>
        <v>0.69115704824050794</v>
      </c>
      <c r="BO25" s="126">
        <f>+BO24/'1.Input IS Trend &amp; EPS'!CG9</f>
        <v>0.7091323639322239</v>
      </c>
      <c r="BP25" s="126">
        <f>+BP24/'1.Input IS Trend &amp; EPS'!CH9</f>
        <v>0.66586874494182446</v>
      </c>
      <c r="BR25" s="126">
        <f>+BR24/'1.Input IS Trend &amp; EPS'!CJ9</f>
        <v>0.72831553840982211</v>
      </c>
      <c r="BS25" s="126">
        <f>+BS24/'1.Input IS Trend &amp; EPS'!CK9</f>
        <v>0.68931679318644701</v>
      </c>
      <c r="BT25" s="126">
        <f>+BT24/'1.Input IS Trend &amp; EPS'!CL9</f>
        <v>0.63884480323914972</v>
      </c>
      <c r="BU25" s="126">
        <f>+BU24/'1.Input IS Trend &amp; EPS'!CM9</f>
        <v>0.6019842688594923</v>
      </c>
      <c r="BV25" s="126">
        <f>+BV24/'1.Input IS Trend &amp; EPS'!CN9</f>
        <v>0.65975982074084449</v>
      </c>
      <c r="BX25" s="172"/>
      <c r="BZ25" s="126">
        <f>+BZ24/'1.Input IS Trend &amp; EPS'!CZ9</f>
        <v>0.73683373020157872</v>
      </c>
      <c r="CA25" s="126">
        <f>+CA24/'1.Input IS Trend &amp; EPS'!DA9</f>
        <v>0.74465200694990097</v>
      </c>
      <c r="CB25" s="126">
        <f>+CB24/'1.Input IS Trend &amp; EPS'!DB9</f>
        <v>0.74472574597382446</v>
      </c>
      <c r="CC25" s="126">
        <f>+CC24/'1.Input IS Trend &amp; EPS'!DC9</f>
        <v>0.74472574597382446</v>
      </c>
      <c r="CD25" s="126">
        <f>+CD24/'1.Input IS Trend &amp; EPS'!DD9</f>
        <v>0.74472574597382446</v>
      </c>
      <c r="CF25" s="126">
        <f>+CF24/'1.Input IS Trend &amp; EPS'!DF9</f>
        <v>0.72932906684667265</v>
      </c>
      <c r="CG25" s="126">
        <f>+CG24/'1.Input IS Trend &amp; EPS'!DG9</f>
        <v>0.74177231318086256</v>
      </c>
      <c r="CH25" s="126">
        <f>+CH24/'1.Input IS Trend &amp; EPS'!DH9</f>
        <v>0.74579394804113908</v>
      </c>
      <c r="CI25" s="126">
        <f>+CI24/'1.Input IS Trend &amp; EPS'!DI9</f>
        <v>0.74661075916266084</v>
      </c>
      <c r="CJ25" s="126">
        <f>+CJ24/'1.Input IS Trend &amp; EPS'!DJ9</f>
        <v>0.74661075916266084</v>
      </c>
      <c r="CL25" s="126">
        <f>+CL24/'1.Input IS Trend &amp; EPS'!DL9</f>
        <v>0.75243069957748365</v>
      </c>
      <c r="CM25" s="126">
        <f>+CM24/'1.Input IS Trend &amp; EPS'!DM9</f>
        <v>0.75257999184356228</v>
      </c>
      <c r="CN25" s="126">
        <f>+CN24/'1.Input IS Trend &amp; EPS'!DN9</f>
        <v>0.75564842161189583</v>
      </c>
      <c r="CO25" s="126">
        <f>+CO24/'1.Input IS Trend &amp; EPS'!DO9</f>
        <v>0.75369395373317716</v>
      </c>
      <c r="CP25" s="126">
        <f>+CP24/'1.Input IS Trend &amp; EPS'!DP9</f>
        <v>0.75369395373317716</v>
      </c>
    </row>
    <row r="26" spans="1:94" ht="15" customHeight="1" x14ac:dyDescent="0.25">
      <c r="O26" s="205" t="str">
        <f>IF(O25&lt;=-15,"pts",IF(O25&gt;=15,"pts","pt"))</f>
        <v>pt</v>
      </c>
      <c r="P26" s="205"/>
      <c r="Q26" s="205" t="str">
        <f>IF(Q25&lt;=-15,"pts",IF(Q25&gt;=15,"pts","pt"))</f>
        <v>pt</v>
      </c>
      <c r="R26" s="210"/>
      <c r="AA26" s="196">
        <f t="shared" si="0"/>
        <v>20</v>
      </c>
      <c r="AF26" s="167"/>
      <c r="AH26" s="390" t="s">
        <v>293</v>
      </c>
      <c r="AI26" s="362"/>
      <c r="AJ26" s="362"/>
      <c r="AK26" s="362"/>
      <c r="AL26" s="362"/>
      <c r="AN26" s="153" t="s">
        <v>294</v>
      </c>
      <c r="AO26" s="153" t="s">
        <v>294</v>
      </c>
      <c r="AP26" s="153" t="s">
        <v>294</v>
      </c>
      <c r="AQ26" s="153" t="s">
        <v>294</v>
      </c>
      <c r="AR26" s="153" t="s">
        <v>294</v>
      </c>
      <c r="AT26" s="153" t="s">
        <v>294</v>
      </c>
      <c r="AU26" s="153" t="s">
        <v>294</v>
      </c>
      <c r="AV26" s="153" t="s">
        <v>294</v>
      </c>
      <c r="AW26" s="153" t="s">
        <v>294</v>
      </c>
      <c r="AX26" s="153" t="s">
        <v>294</v>
      </c>
      <c r="AZ26" s="153" t="s">
        <v>294</v>
      </c>
      <c r="BA26" s="153" t="s">
        <v>294</v>
      </c>
      <c r="BB26" s="153" t="s">
        <v>294</v>
      </c>
      <c r="BC26" s="153" t="s">
        <v>294</v>
      </c>
      <c r="BD26" s="153" t="s">
        <v>294</v>
      </c>
      <c r="BF26" s="153" t="s">
        <v>294</v>
      </c>
      <c r="BG26" s="153" t="s">
        <v>294</v>
      </c>
      <c r="BH26" s="153" t="s">
        <v>294</v>
      </c>
      <c r="BI26" s="153" t="s">
        <v>294</v>
      </c>
      <c r="BJ26" s="153" t="s">
        <v>294</v>
      </c>
      <c r="BL26" s="153" t="s">
        <v>294</v>
      </c>
      <c r="BM26" s="153" t="s">
        <v>294</v>
      </c>
      <c r="BN26" s="153" t="s">
        <v>294</v>
      </c>
      <c r="BO26" s="153" t="s">
        <v>294</v>
      </c>
      <c r="BP26" s="153" t="s">
        <v>294</v>
      </c>
      <c r="BR26" s="153" t="s">
        <v>294</v>
      </c>
      <c r="BS26" s="153" t="s">
        <v>294</v>
      </c>
      <c r="BT26" s="153" t="s">
        <v>294</v>
      </c>
      <c r="BU26" s="153" t="s">
        <v>294</v>
      </c>
      <c r="BV26" s="153" t="s">
        <v>294</v>
      </c>
      <c r="BX26" s="167"/>
    </row>
    <row r="27" spans="1:94" ht="15" customHeight="1" x14ac:dyDescent="0.25">
      <c r="O27" s="206" t="str">
        <f>ROUND(+O25*100,0)&amp;" "&amp;O26</f>
        <v>-1 pt</v>
      </c>
      <c r="P27" s="205"/>
      <c r="Q27" s="206" t="str">
        <f>ROUND(+Q25*100,0)&amp;" "&amp;Q26</f>
        <v>-1 pt</v>
      </c>
      <c r="R27" s="210"/>
      <c r="AA27" s="196">
        <f t="shared" si="0"/>
        <v>21</v>
      </c>
      <c r="AF27" s="167"/>
      <c r="BX27" s="167"/>
    </row>
    <row r="28" spans="1:94" ht="15" customHeight="1" x14ac:dyDescent="0.25">
      <c r="A28" s="132" t="s">
        <v>295</v>
      </c>
      <c r="O28" s="209"/>
      <c r="Q28" s="209"/>
      <c r="AA28" s="196">
        <f t="shared" si="0"/>
        <v>22</v>
      </c>
      <c r="AF28" s="167"/>
      <c r="BX28" s="167"/>
    </row>
    <row r="29" spans="1:94" ht="15" customHeight="1" x14ac:dyDescent="0.25">
      <c r="A29" s="102" t="s">
        <v>296</v>
      </c>
      <c r="C29" s="94">
        <f>+'1.Input IS Trend &amp; EPS'!E10-C12-C13-C17</f>
        <v>49857000</v>
      </c>
      <c r="E29" s="94">
        <f>+'1.Input IS Trend &amp; EPS'!G10-E12-E13-E17</f>
        <v>42936000</v>
      </c>
      <c r="G29" s="94">
        <f>+'1.Input IS Trend &amp; EPS'!I10-G12-G13-G17</f>
        <v>37870000</v>
      </c>
      <c r="I29" s="94">
        <f>+'1.Input IS Trend &amp; EPS'!K10-I12-I13-I17</f>
        <v>142151000</v>
      </c>
      <c r="K29" s="94">
        <f>+'1.Input IS Trend &amp; EPS'!M10-K12-K13-K17</f>
        <v>124004000</v>
      </c>
      <c r="M29" s="94">
        <f>+'1.Input IS Trend &amp; EPS'!O10-M12-M13-M17</f>
        <v>109459000</v>
      </c>
      <c r="O29" s="198">
        <f>+C29-E29</f>
        <v>6921000</v>
      </c>
      <c r="Q29" s="198">
        <f>+E29-G29</f>
        <v>5066000</v>
      </c>
      <c r="U29" s="111" t="str">
        <f>IF(C29&gt;E29,"increase","decrease")</f>
        <v>increase</v>
      </c>
      <c r="W29" s="111" t="str">
        <f>IF(E29&gt;G29,"increase","decrease")</f>
        <v>increase</v>
      </c>
      <c r="AA29" s="196">
        <f t="shared" si="0"/>
        <v>23</v>
      </c>
      <c r="AF29" s="167"/>
      <c r="BX29" s="167"/>
    </row>
    <row r="30" spans="1:94" ht="15" customHeight="1" x14ac:dyDescent="0.25">
      <c r="A30" s="125" t="s">
        <v>297</v>
      </c>
      <c r="C30" s="94">
        <f>+'1.Input IS Trend &amp; EPS'!E20-C14-C15-C16-C18-C19-C20</f>
        <v>100287000</v>
      </c>
      <c r="E30" s="94">
        <f>+'1.Input IS Trend &amp; EPS'!G20-E14-E15-E16-E18-E19-E20</f>
        <v>94552000</v>
      </c>
      <c r="G30" s="94">
        <f>+'1.Input IS Trend &amp; EPS'!I20-G14-G15-G16-G18-G19-G20</f>
        <v>95006000</v>
      </c>
      <c r="I30" s="94">
        <f>+'1.Input IS Trend &amp; EPS'!K20-I14-I15-I16-I18-I19-I20</f>
        <v>301948000</v>
      </c>
      <c r="K30" s="94">
        <f>+'1.Input IS Trend &amp; EPS'!M20-K14-K15-K16-K18-K19-K20</f>
        <v>274847000</v>
      </c>
      <c r="M30" s="94">
        <f>+'1.Input IS Trend &amp; EPS'!O20-M14-M15-M16-M18-M19-M20</f>
        <v>291585000</v>
      </c>
      <c r="O30" s="198">
        <f>+C30-E30</f>
        <v>5735000</v>
      </c>
      <c r="Q30" s="198">
        <f>+E30-G30</f>
        <v>-454000</v>
      </c>
      <c r="U30" s="111" t="str">
        <f>IF(C30&gt;E30,"increase","decrease")</f>
        <v>increase</v>
      </c>
      <c r="W30" s="111" t="str">
        <f>IF(E30&gt;G30,"increase","decrease")</f>
        <v>decrease</v>
      </c>
      <c r="AA30" s="196">
        <f t="shared" si="0"/>
        <v>24</v>
      </c>
      <c r="AF30" s="167"/>
      <c r="BX30" s="167"/>
    </row>
    <row r="31" spans="1:94" ht="15" customHeight="1" x14ac:dyDescent="0.25">
      <c r="A31" s="125" t="s">
        <v>298</v>
      </c>
      <c r="C31" s="94">
        <f>+C14+C15+C16</f>
        <v>25305000</v>
      </c>
      <c r="E31" s="94">
        <f>+E14+E15+E16</f>
        <v>16680000</v>
      </c>
      <c r="G31" s="94">
        <f>+G14+G15+G16</f>
        <v>28416000</v>
      </c>
      <c r="I31" s="94">
        <f>+I14+I15+I16</f>
        <v>79263000</v>
      </c>
      <c r="K31" s="94">
        <f>+K14+K15+K16</f>
        <v>44449000</v>
      </c>
      <c r="M31" s="94">
        <f>+M14+M15+M16</f>
        <v>77478000</v>
      </c>
      <c r="AF31" s="167"/>
      <c r="BX31" s="167"/>
    </row>
    <row r="32" spans="1:94" ht="15" customHeight="1" x14ac:dyDescent="0.25">
      <c r="AF32" s="167"/>
      <c r="BX32" s="167"/>
    </row>
  </sheetData>
  <mergeCells count="23">
    <mergeCell ref="CL6:CP6"/>
    <mergeCell ref="AH26:AL26"/>
    <mergeCell ref="BR6:BV6"/>
    <mergeCell ref="BL6:BP6"/>
    <mergeCell ref="BZ6:CD6"/>
    <mergeCell ref="CF6:CJ6"/>
    <mergeCell ref="AH6:AL6"/>
    <mergeCell ref="AT6:AX6"/>
    <mergeCell ref="AN6:AR6"/>
    <mergeCell ref="AZ6:BD6"/>
    <mergeCell ref="BF6:BJ6"/>
    <mergeCell ref="U5:Y5"/>
    <mergeCell ref="U6:Y6"/>
    <mergeCell ref="O6:S6"/>
    <mergeCell ref="O5:S5"/>
    <mergeCell ref="O4:S4"/>
    <mergeCell ref="U4:Y4"/>
    <mergeCell ref="C5:G5"/>
    <mergeCell ref="C6:G6"/>
    <mergeCell ref="C4:G4"/>
    <mergeCell ref="I4:M4"/>
    <mergeCell ref="I5:M5"/>
    <mergeCell ref="I6:M6"/>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T68"/>
  <sheetViews>
    <sheetView workbookViewId="0">
      <pane xSplit="1" ySplit="7" topLeftCell="B8" activePane="bottomRight" state="frozen"/>
      <selection pane="topRight"/>
      <selection pane="bottomLeft"/>
      <selection pane="bottomRight"/>
    </sheetView>
  </sheetViews>
  <sheetFormatPr defaultColWidth="13.08984375" defaultRowHeight="12.5" x14ac:dyDescent="0.25"/>
  <cols>
    <col min="1" max="1" width="46.26953125" customWidth="1"/>
    <col min="2" max="2" width="1.54296875" customWidth="1"/>
    <col min="3" max="3" width="10.7265625" customWidth="1"/>
    <col min="4" max="4" width="1.26953125" customWidth="1"/>
    <col min="5" max="5" width="10.7265625" customWidth="1"/>
    <col min="6" max="6" width="1.26953125" customWidth="1"/>
    <col min="7" max="7" width="10.7265625" customWidth="1"/>
    <col min="8" max="8" width="2.36328125" customWidth="1"/>
    <col min="9" max="9" width="11.1796875" customWidth="1"/>
    <col min="10" max="10" width="1.26953125" customWidth="1"/>
    <col min="11" max="11" width="11.1796875" customWidth="1"/>
    <col min="12" max="12" width="1.26953125" customWidth="1"/>
    <col min="13" max="13" width="11.1796875" customWidth="1"/>
    <col min="14" max="14" width="4.08984375" customWidth="1"/>
    <col min="15" max="18" width="9.7265625" customWidth="1"/>
    <col min="19" max="19" width="1.54296875" customWidth="1"/>
    <col min="20" max="22" width="9.7265625" customWidth="1"/>
    <col min="23" max="25" width="1.7265625" customWidth="1"/>
    <col min="26" max="30" width="11" customWidth="1"/>
    <col min="31" max="31" width="1.08984375" customWidth="1"/>
    <col min="32" max="35" width="10.08984375" customWidth="1"/>
    <col min="36" max="36" width="12" customWidth="1"/>
    <col min="37" max="37" width="1.7265625" customWidth="1"/>
    <col min="38" max="41" width="9.26953125" customWidth="1"/>
    <col min="42" max="42" width="11" customWidth="1"/>
    <col min="43" max="43" width="1.08984375" customWidth="1"/>
    <col min="44" max="48" width="11.36328125" customWidth="1"/>
    <col min="49" max="49" width="2.1796875" customWidth="1"/>
    <col min="50" max="54" width="11.1796875" customWidth="1"/>
    <col min="55" max="55" width="1.26953125" customWidth="1"/>
    <col min="56" max="60" width="10.36328125" customWidth="1"/>
    <col min="61" max="61" width="0.90625" customWidth="1"/>
    <col min="62" max="66" width="11.6328125" customWidth="1"/>
    <col min="67" max="67" width="0.90625" customWidth="1"/>
    <col min="68" max="72" width="11.6328125" customWidth="1"/>
    <col min="73" max="73" width="0.90625" customWidth="1"/>
    <col min="74" max="74" width="11.6328125" customWidth="1"/>
    <col min="75" max="75" width="2.1796875" customWidth="1"/>
    <col min="76" max="76" width="2.36328125" customWidth="1"/>
    <col min="77" max="77" width="2.81640625" customWidth="1"/>
    <col min="78" max="82" width="11.6328125" customWidth="1"/>
    <col min="83" max="83" width="4.08984375" customWidth="1"/>
    <col min="84" max="88" width="11.6328125" customWidth="1"/>
    <col min="89" max="89" width="2.36328125" customWidth="1"/>
    <col min="90" max="94" width="11" customWidth="1"/>
    <col min="95" max="95" width="1.54296875" customWidth="1"/>
    <col min="96" max="100" width="10.7265625" customWidth="1"/>
    <col min="101" max="101" width="2.54296875" customWidth="1"/>
    <col min="102" max="106" width="11.6328125" customWidth="1"/>
    <col min="107" max="107" width="1.90625" customWidth="1"/>
    <col min="108" max="112" width="10.7265625" customWidth="1"/>
    <col min="113" max="113" width="1.26953125" customWidth="1"/>
    <col min="114" max="118" width="10.7265625" customWidth="1"/>
    <col min="119" max="119" width="1.26953125" customWidth="1"/>
    <col min="120" max="124" width="10.7265625" customWidth="1"/>
    <col min="125" max="125" width="2.81640625" customWidth="1"/>
  </cols>
  <sheetData>
    <row r="1" spans="1:124" ht="15" customHeight="1" x14ac:dyDescent="0.25">
      <c r="X1" s="167"/>
      <c r="BX1" s="167"/>
    </row>
    <row r="2" spans="1:124" ht="12.5" customHeight="1" x14ac:dyDescent="0.25">
      <c r="A2" s="109" t="s">
        <v>72</v>
      </c>
      <c r="X2" s="169"/>
      <c r="Z2" s="391" t="s">
        <v>299</v>
      </c>
      <c r="AA2" s="391"/>
      <c r="AB2" s="391"/>
      <c r="AC2" s="391"/>
      <c r="AD2" s="391"/>
      <c r="AE2" s="211"/>
      <c r="BX2" s="169"/>
      <c r="BZ2" s="392" t="s">
        <v>299</v>
      </c>
      <c r="CA2" s="392"/>
      <c r="CB2" s="392"/>
      <c r="CC2" s="392"/>
      <c r="CD2" s="392"/>
      <c r="CF2" s="378" t="s">
        <v>299</v>
      </c>
      <c r="CG2" s="362"/>
      <c r="CH2" s="362"/>
      <c r="CI2" s="362"/>
      <c r="CJ2" s="362"/>
    </row>
    <row r="3" spans="1:124" ht="12.5" customHeight="1" x14ac:dyDescent="0.25">
      <c r="A3" s="109" t="s">
        <v>300</v>
      </c>
      <c r="X3" s="240"/>
      <c r="BX3" s="167"/>
    </row>
    <row r="4" spans="1:124" ht="12.5" customHeight="1" x14ac:dyDescent="0.25">
      <c r="A4" s="109" t="s">
        <v>145</v>
      </c>
      <c r="C4" s="380" t="s">
        <v>266</v>
      </c>
      <c r="D4" s="362"/>
      <c r="E4" s="362"/>
      <c r="F4" s="362"/>
      <c r="G4" s="362"/>
      <c r="I4" s="380" t="s">
        <v>266</v>
      </c>
      <c r="J4" s="362"/>
      <c r="K4" s="362"/>
      <c r="L4" s="362"/>
      <c r="M4" s="362"/>
      <c r="P4" s="380" t="s">
        <v>266</v>
      </c>
      <c r="Q4" s="362"/>
      <c r="R4" s="362"/>
      <c r="T4" s="380" t="s">
        <v>266</v>
      </c>
      <c r="U4" s="362"/>
      <c r="V4" s="362"/>
      <c r="X4" s="240"/>
      <c r="BX4" s="167"/>
    </row>
    <row r="5" spans="1:124" ht="12.5" customHeight="1" x14ac:dyDescent="0.25">
      <c r="A5" s="109" t="s">
        <v>147</v>
      </c>
      <c r="C5" s="381" t="s">
        <v>267</v>
      </c>
      <c r="D5" s="381"/>
      <c r="E5" s="381"/>
      <c r="F5" s="381"/>
      <c r="G5" s="381"/>
      <c r="I5" s="381" t="s">
        <v>267</v>
      </c>
      <c r="J5" s="381"/>
      <c r="K5" s="381"/>
      <c r="L5" s="381"/>
      <c r="M5" s="381"/>
      <c r="O5" s="125" t="s">
        <v>146</v>
      </c>
      <c r="P5" s="381" t="s">
        <v>267</v>
      </c>
      <c r="Q5" s="381"/>
      <c r="R5" s="381"/>
      <c r="T5" s="381" t="s">
        <v>267</v>
      </c>
      <c r="U5" s="381"/>
      <c r="V5" s="381"/>
      <c r="X5" s="240"/>
      <c r="BX5" s="167"/>
      <c r="BZ5" s="57" t="s">
        <v>146</v>
      </c>
      <c r="CF5" s="57" t="s">
        <v>146</v>
      </c>
      <c r="CL5" s="57" t="s">
        <v>146</v>
      </c>
      <c r="CR5" s="57" t="s">
        <v>146</v>
      </c>
      <c r="CX5" s="57" t="s">
        <v>146</v>
      </c>
      <c r="DD5" s="57" t="s">
        <v>146</v>
      </c>
      <c r="DJ5" s="57" t="s">
        <v>146</v>
      </c>
      <c r="DP5" s="57" t="s">
        <v>146</v>
      </c>
    </row>
    <row r="6" spans="1:124" ht="12.5" customHeight="1" x14ac:dyDescent="0.25">
      <c r="C6" s="389" t="s">
        <v>155</v>
      </c>
      <c r="D6" s="362"/>
      <c r="E6" s="362"/>
      <c r="F6" s="362"/>
      <c r="G6" s="362"/>
      <c r="I6" s="383" t="s">
        <v>156</v>
      </c>
      <c r="J6" s="362"/>
      <c r="K6" s="362"/>
      <c r="L6" s="362"/>
      <c r="M6" s="362"/>
      <c r="O6" s="125" t="s">
        <v>270</v>
      </c>
      <c r="P6" s="389" t="s">
        <v>155</v>
      </c>
      <c r="Q6" s="362"/>
      <c r="R6" s="362"/>
      <c r="T6" s="383" t="s">
        <v>156</v>
      </c>
      <c r="U6" s="362"/>
      <c r="V6" s="362"/>
      <c r="X6" s="167"/>
      <c r="AA6" s="61"/>
      <c r="AB6" s="212" t="s">
        <v>157</v>
      </c>
      <c r="AD6" s="114" t="s">
        <v>158</v>
      </c>
      <c r="AJ6" s="114" t="s">
        <v>158</v>
      </c>
      <c r="AP6" s="114" t="s">
        <v>158</v>
      </c>
      <c r="AV6" s="114" t="s">
        <v>158</v>
      </c>
      <c r="BB6" s="114" t="s">
        <v>158</v>
      </c>
      <c r="BX6" s="167"/>
      <c r="BZ6" s="386" t="s">
        <v>159</v>
      </c>
      <c r="CA6" s="362"/>
      <c r="CB6" s="362"/>
      <c r="CC6" s="362"/>
      <c r="CD6" s="362"/>
      <c r="CF6" s="386" t="s">
        <v>160</v>
      </c>
      <c r="CG6" s="362"/>
      <c r="CH6" s="362"/>
      <c r="CI6" s="362"/>
      <c r="CJ6" s="362"/>
      <c r="CL6" s="386" t="s">
        <v>161</v>
      </c>
      <c r="CM6" s="362"/>
      <c r="CN6" s="362"/>
      <c r="CO6" s="362"/>
      <c r="CP6" s="362"/>
      <c r="CR6" s="386" t="s">
        <v>162</v>
      </c>
      <c r="CS6" s="362"/>
      <c r="CT6" s="362"/>
      <c r="CU6" s="362"/>
      <c r="CV6" s="362"/>
      <c r="CX6" s="386" t="s">
        <v>163</v>
      </c>
      <c r="CY6" s="362"/>
      <c r="CZ6" s="362"/>
      <c r="DA6" s="362"/>
      <c r="DB6" s="362"/>
      <c r="DD6" s="386" t="s">
        <v>164</v>
      </c>
      <c r="DE6" s="362"/>
      <c r="DF6" s="362"/>
      <c r="DG6" s="362"/>
      <c r="DH6" s="362"/>
      <c r="DJ6" s="386" t="s">
        <v>165</v>
      </c>
      <c r="DK6" s="362"/>
      <c r="DL6" s="362"/>
      <c r="DM6" s="362"/>
      <c r="DN6" s="362"/>
      <c r="DP6" s="386" t="s">
        <v>166</v>
      </c>
      <c r="DQ6" s="362"/>
      <c r="DR6" s="362"/>
      <c r="DS6" s="362"/>
      <c r="DT6" s="362"/>
    </row>
    <row r="7" spans="1:124" ht="12.5" customHeight="1" x14ac:dyDescent="0.25">
      <c r="C7" s="190">
        <f>+Dates!B29</f>
        <v>45657</v>
      </c>
      <c r="E7" s="190">
        <f>+Dates!C29</f>
        <v>45291</v>
      </c>
      <c r="G7" s="190">
        <f>+Dates!D29</f>
        <v>44926</v>
      </c>
      <c r="I7" s="190">
        <f>+Dates!B29</f>
        <v>45657</v>
      </c>
      <c r="K7" s="190">
        <f>+Dates!C29</f>
        <v>45291</v>
      </c>
      <c r="M7" s="190">
        <f>+Dates!D29</f>
        <v>44926</v>
      </c>
      <c r="O7" s="191">
        <v>1</v>
      </c>
      <c r="P7" s="190">
        <f>+Dates!B29</f>
        <v>45657</v>
      </c>
      <c r="Q7" s="190">
        <f>+Dates!C29</f>
        <v>45291</v>
      </c>
      <c r="R7" s="190">
        <f>+Dates!D29</f>
        <v>44926</v>
      </c>
      <c r="T7" s="190">
        <f>+Dates!B29</f>
        <v>45657</v>
      </c>
      <c r="U7" s="190">
        <f>+Dates!C29</f>
        <v>45291</v>
      </c>
      <c r="V7" s="190">
        <f>+Dates!D29</f>
        <v>44926</v>
      </c>
      <c r="X7" s="171"/>
      <c r="Z7" s="120">
        <v>45473</v>
      </c>
      <c r="AA7" s="120">
        <v>45565</v>
      </c>
      <c r="AB7" s="213">
        <v>45657</v>
      </c>
      <c r="AC7" s="120">
        <v>45747</v>
      </c>
      <c r="AD7" s="120" t="s">
        <v>171</v>
      </c>
      <c r="AF7" s="120">
        <v>45107</v>
      </c>
      <c r="AG7" s="120">
        <v>45199</v>
      </c>
      <c r="AH7" s="120">
        <v>45291</v>
      </c>
      <c r="AI7" s="120">
        <v>45382</v>
      </c>
      <c r="AJ7" s="120" t="s">
        <v>172</v>
      </c>
      <c r="AL7" s="120">
        <v>44742</v>
      </c>
      <c r="AM7" s="120">
        <v>44834</v>
      </c>
      <c r="AN7" s="120">
        <v>44926</v>
      </c>
      <c r="AO7" s="120">
        <v>45016</v>
      </c>
      <c r="AP7" s="120" t="s">
        <v>173</v>
      </c>
      <c r="AR7" s="120">
        <v>44377</v>
      </c>
      <c r="AS7" s="120">
        <v>44469</v>
      </c>
      <c r="AT7" s="120">
        <v>44561</v>
      </c>
      <c r="AU7" s="120">
        <v>44651</v>
      </c>
      <c r="AV7" s="120" t="s">
        <v>174</v>
      </c>
      <c r="AX7" s="120">
        <v>44012</v>
      </c>
      <c r="AY7" s="120">
        <v>44104</v>
      </c>
      <c r="AZ7" s="120">
        <v>44196</v>
      </c>
      <c r="BA7" s="120">
        <v>44286</v>
      </c>
      <c r="BB7" s="120" t="s">
        <v>175</v>
      </c>
      <c r="BD7" s="120">
        <v>43646</v>
      </c>
      <c r="BE7" s="120">
        <v>43738</v>
      </c>
      <c r="BF7" s="120">
        <v>43830</v>
      </c>
      <c r="BG7" s="120">
        <v>43921</v>
      </c>
      <c r="BH7" s="120" t="s">
        <v>176</v>
      </c>
      <c r="BJ7" s="120">
        <v>43281</v>
      </c>
      <c r="BK7" s="120">
        <v>43373</v>
      </c>
      <c r="BL7" s="120">
        <v>43465</v>
      </c>
      <c r="BM7" s="120">
        <v>43555</v>
      </c>
      <c r="BN7" s="122" t="s">
        <v>177</v>
      </c>
      <c r="BP7" s="120">
        <v>42916</v>
      </c>
      <c r="BQ7" s="120">
        <v>43008</v>
      </c>
      <c r="BR7" s="120">
        <v>43100</v>
      </c>
      <c r="BS7" s="120">
        <v>43190</v>
      </c>
      <c r="BT7" s="120" t="s">
        <v>301</v>
      </c>
      <c r="BV7" s="120" t="s">
        <v>302</v>
      </c>
      <c r="BX7" s="167"/>
      <c r="BZ7" s="214">
        <v>45473</v>
      </c>
      <c r="CA7" s="215">
        <v>45565</v>
      </c>
      <c r="CB7" s="214">
        <v>45657</v>
      </c>
      <c r="CC7" s="214">
        <v>45747</v>
      </c>
      <c r="CD7" s="215" t="s">
        <v>171</v>
      </c>
      <c r="CF7" s="214">
        <v>45107</v>
      </c>
      <c r="CG7" s="214">
        <v>45199</v>
      </c>
      <c r="CH7" s="214">
        <v>45291</v>
      </c>
      <c r="CI7" s="214">
        <v>45382</v>
      </c>
      <c r="CJ7" s="214" t="s">
        <v>172</v>
      </c>
      <c r="CL7" s="214">
        <v>44742</v>
      </c>
      <c r="CM7" s="214">
        <v>44834</v>
      </c>
      <c r="CN7" s="214">
        <v>44926</v>
      </c>
      <c r="CO7" s="214">
        <v>45016</v>
      </c>
      <c r="CP7" s="214" t="s">
        <v>173</v>
      </c>
      <c r="CR7" s="214">
        <v>44377</v>
      </c>
      <c r="CS7" s="214">
        <v>44469</v>
      </c>
      <c r="CT7" s="214">
        <v>44561</v>
      </c>
      <c r="CU7" s="214">
        <v>44651</v>
      </c>
      <c r="CV7" s="214" t="s">
        <v>174</v>
      </c>
      <c r="CX7" s="214">
        <v>44012</v>
      </c>
      <c r="CY7" s="214">
        <v>44104</v>
      </c>
      <c r="CZ7" s="214">
        <v>44196</v>
      </c>
      <c r="DA7" s="214">
        <v>44286</v>
      </c>
      <c r="DB7" s="214" t="s">
        <v>175</v>
      </c>
      <c r="DD7" s="214">
        <v>43646</v>
      </c>
      <c r="DE7" s="214">
        <v>43738</v>
      </c>
      <c r="DF7" s="214">
        <v>43830</v>
      </c>
      <c r="DG7" s="214">
        <v>43921</v>
      </c>
      <c r="DH7" s="214" t="s">
        <v>176</v>
      </c>
      <c r="DJ7" s="214">
        <v>43281</v>
      </c>
      <c r="DK7" s="214">
        <v>43373</v>
      </c>
      <c r="DL7" s="214">
        <v>43465</v>
      </c>
      <c r="DM7" s="214">
        <v>43555</v>
      </c>
      <c r="DN7" s="214" t="s">
        <v>177</v>
      </c>
      <c r="DP7" s="117">
        <v>42916</v>
      </c>
      <c r="DQ7" s="117">
        <v>43008</v>
      </c>
      <c r="DR7" s="117">
        <v>43100</v>
      </c>
      <c r="DS7" s="117">
        <v>43190</v>
      </c>
      <c r="DT7" s="117" t="s">
        <v>178</v>
      </c>
    </row>
    <row r="8" spans="1:124" ht="12.5" customHeight="1" x14ac:dyDescent="0.25">
      <c r="C8" s="102"/>
      <c r="D8" s="102"/>
      <c r="E8" s="102"/>
      <c r="F8" s="102"/>
      <c r="G8" s="102"/>
      <c r="I8" s="102"/>
      <c r="J8" s="102"/>
      <c r="K8" s="102"/>
      <c r="L8" s="102"/>
      <c r="M8" s="102"/>
      <c r="O8" s="191">
        <f t="shared" ref="O8:O48" si="0">O7+1</f>
        <v>2</v>
      </c>
      <c r="P8" s="102"/>
      <c r="Q8" s="102"/>
      <c r="R8" s="102"/>
      <c r="T8" s="102"/>
      <c r="U8" s="102"/>
      <c r="V8" s="102"/>
      <c r="X8" s="167"/>
      <c r="Z8" s="102"/>
      <c r="AA8" s="102"/>
      <c r="AB8" s="102"/>
      <c r="AC8" s="102"/>
      <c r="AD8" s="102"/>
      <c r="AF8" s="102"/>
      <c r="AG8" s="102"/>
      <c r="AH8" s="102"/>
      <c r="AI8" s="102"/>
      <c r="AJ8" s="102"/>
      <c r="AL8" s="102"/>
      <c r="AM8" s="102"/>
      <c r="AN8" s="102"/>
      <c r="AO8" s="102"/>
      <c r="AP8" s="102"/>
      <c r="AR8" s="102"/>
      <c r="AS8" s="102"/>
      <c r="AT8" s="102"/>
      <c r="AU8" s="102"/>
      <c r="AV8" s="102"/>
      <c r="AX8" s="102"/>
      <c r="AY8" s="102"/>
      <c r="AZ8" s="102"/>
      <c r="BA8" s="102"/>
      <c r="BB8" s="102"/>
      <c r="BD8" s="102"/>
      <c r="BE8" s="102"/>
      <c r="BF8" s="102"/>
      <c r="BG8" s="102"/>
      <c r="BH8" s="102"/>
      <c r="BJ8" s="102"/>
      <c r="BK8" s="102"/>
      <c r="BL8" s="102"/>
      <c r="BM8" s="102"/>
      <c r="BN8" s="102"/>
      <c r="BP8" s="102"/>
      <c r="BQ8" s="102"/>
      <c r="BR8" s="102"/>
      <c r="BS8" s="102"/>
      <c r="BT8" s="102"/>
      <c r="BV8" s="102"/>
      <c r="BX8" s="167"/>
      <c r="BZ8" s="102"/>
      <c r="CA8" s="102"/>
      <c r="CB8" s="102"/>
      <c r="CC8" s="102"/>
      <c r="CD8" s="102"/>
      <c r="CF8" s="102"/>
      <c r="CG8" s="102"/>
      <c r="CH8" s="102"/>
      <c r="CI8" s="102"/>
      <c r="CJ8" s="102"/>
      <c r="CL8" s="102"/>
      <c r="CM8" s="102"/>
      <c r="CN8" s="102"/>
      <c r="CO8" s="102"/>
      <c r="CP8" s="102"/>
      <c r="CR8" s="102"/>
      <c r="CS8" s="102"/>
      <c r="CT8" s="102"/>
      <c r="CU8" s="102"/>
      <c r="CV8" s="102"/>
      <c r="CX8" s="102"/>
      <c r="CY8" s="102"/>
      <c r="CZ8" s="102"/>
      <c r="DA8" s="102"/>
      <c r="DB8" s="102"/>
      <c r="DD8" s="102"/>
      <c r="DE8" s="102"/>
      <c r="DF8" s="102"/>
      <c r="DG8" s="102"/>
      <c r="DH8" s="102"/>
      <c r="DJ8" s="102"/>
      <c r="DK8" s="102"/>
      <c r="DL8" s="102"/>
      <c r="DM8" s="102"/>
      <c r="DN8" s="102"/>
      <c r="DP8" s="102"/>
      <c r="DQ8" s="102"/>
      <c r="DR8" s="102"/>
      <c r="DS8" s="102"/>
      <c r="DT8" s="102"/>
    </row>
    <row r="9" spans="1:124" ht="24.15" customHeight="1" x14ac:dyDescent="0.25">
      <c r="A9" s="130" t="s">
        <v>303</v>
      </c>
      <c r="C9" s="72">
        <f>HLOOKUP(C$7,$X$7:$BX$39,$O9,FALSE)</f>
        <v>18706000</v>
      </c>
      <c r="E9" s="72">
        <f>HLOOKUP(E$7,$X$7:$BX$39,$O9,FALSE)</f>
        <v>21808000</v>
      </c>
      <c r="G9" s="72">
        <f>HLOOKUP(G$7,$X$7:$BX$39,$O9,FALSE)</f>
        <v>-24685000</v>
      </c>
      <c r="I9" s="72">
        <f>HLOOKUP(I$7,$BX$7:$DU$39,$O9,FALSE)</f>
        <v>29586000</v>
      </c>
      <c r="K9" s="72">
        <f>HLOOKUP(K$7,$BX$7:$DU$39,$O9,FALSE)</f>
        <v>43566000</v>
      </c>
      <c r="M9" s="72">
        <f>HLOOKUP(M$7,$BX$7:$DU$39,$O9,FALSE)</f>
        <v>-76462000</v>
      </c>
      <c r="O9" s="191">
        <f t="shared" si="0"/>
        <v>3</v>
      </c>
      <c r="P9" s="216" t="str">
        <f>IF(C9&gt;0,"income","loss")</f>
        <v>income</v>
      </c>
      <c r="Q9" s="216" t="str">
        <f>IF(E9&gt;0,"income","loss")</f>
        <v>income</v>
      </c>
      <c r="R9" s="216" t="str">
        <f>IF(G9&gt;0,"income","loss")</f>
        <v>loss</v>
      </c>
      <c r="T9" s="216" t="str">
        <f>IF(I9&gt;0,"income","loss")</f>
        <v>income</v>
      </c>
      <c r="U9" s="216" t="str">
        <f>IF(K9&gt;0,"income","loss")</f>
        <v>income</v>
      </c>
      <c r="V9" s="216" t="str">
        <f>IF(M9&gt;0,"income","loss")</f>
        <v>loss</v>
      </c>
      <c r="X9" s="172"/>
      <c r="Z9" s="72">
        <f>+'1.Input IS Trend &amp; EPS'!AZ28</f>
        <v>-804000</v>
      </c>
      <c r="AA9" s="72">
        <f>+'1.Input IS Trend &amp; EPS'!BA28</f>
        <v>11684000</v>
      </c>
      <c r="AB9" s="72">
        <f>+'1.Input IS Trend &amp; EPS'!BB28</f>
        <v>18706000</v>
      </c>
      <c r="AC9" s="72">
        <f>+'1.Input IS Trend &amp; EPS'!BC28</f>
        <v>0</v>
      </c>
      <c r="AD9" s="72">
        <f>SUM(Z9:AC9)</f>
        <v>29586000</v>
      </c>
      <c r="AF9" s="72">
        <f>+'1.Input IS Trend &amp; EPS'!BF28</f>
        <v>7119000</v>
      </c>
      <c r="AG9" s="72">
        <f>+'1.Input IS Trend &amp; EPS'!BG28</f>
        <v>14639000</v>
      </c>
      <c r="AH9" s="72">
        <f>+'1.Input IS Trend &amp; EPS'!BH28</f>
        <v>21808000</v>
      </c>
      <c r="AI9" s="72">
        <f>+'1.Input IS Trend &amp; EPS'!BI28</f>
        <v>-9205000</v>
      </c>
      <c r="AJ9" s="72">
        <f>SUM(AF9:AI9)</f>
        <v>34361000</v>
      </c>
      <c r="AL9" s="72">
        <f>+'1.Input IS Trend &amp; EPS'!BL28</f>
        <v>-24903000</v>
      </c>
      <c r="AM9" s="72">
        <f>+'1.Input IS Trend &amp; EPS'!BM28</f>
        <v>-26874000</v>
      </c>
      <c r="AN9" s="72">
        <f>+'1.Input IS Trend &amp; EPS'!BN28</f>
        <v>-24685000</v>
      </c>
      <c r="AO9" s="72">
        <f>+'1.Input IS Trend &amp; EPS'!BO28</f>
        <v>-42392000</v>
      </c>
      <c r="AP9" s="72">
        <f>SUM(AL9:AO9)</f>
        <v>-118854000</v>
      </c>
      <c r="AR9" s="72">
        <f>+'1.Input IS Trend &amp; EPS'!BR28</f>
        <v>13000000</v>
      </c>
      <c r="AS9" s="72">
        <f>+'1.Input IS Trend &amp; EPS'!BS28</f>
        <v>-6032000</v>
      </c>
      <c r="AT9" s="72">
        <f>+'1.Input IS Trend &amp; EPS'!BT28</f>
        <v>-14027000</v>
      </c>
      <c r="AU9" s="72">
        <f>+'1.Input IS Trend &amp; EPS'!BU28</f>
        <v>-28016000</v>
      </c>
      <c r="AV9" s="72">
        <f>SUM(AR9:AU9)</f>
        <v>-35075000</v>
      </c>
      <c r="AX9" s="72">
        <f>+'1.Input IS Trend &amp; EPS'!BX28</f>
        <v>-25544000</v>
      </c>
      <c r="AY9" s="72">
        <f>+'1.Input IS Trend &amp; EPS'!BY28</f>
        <v>-27077000</v>
      </c>
      <c r="AZ9" s="72">
        <f>+'1.Input IS Trend &amp; EPS'!BZ28</f>
        <v>-15867000</v>
      </c>
      <c r="BA9" s="72">
        <f>+'1.Input IS Trend &amp; EPS'!CA28</f>
        <v>-52312000</v>
      </c>
      <c r="BB9" s="72">
        <f>SUM(AX9:BA9)</f>
        <v>-120800000</v>
      </c>
      <c r="BD9" s="72">
        <f>+'1.Input IS Trend &amp; EPS'!CD28</f>
        <v>-42493000</v>
      </c>
      <c r="BE9" s="72">
        <f>+'1.Input IS Trend &amp; EPS'!CE28</f>
        <v>-45493000</v>
      </c>
      <c r="BF9" s="72">
        <f>+'1.Input IS Trend &amp; EPS'!CF28</f>
        <v>-38327000</v>
      </c>
      <c r="BG9" s="72">
        <f>+'1.Input IS Trend &amp; EPS'!CG28</f>
        <v>-39224000</v>
      </c>
      <c r="BH9" s="72">
        <f>SUM(BD9:BG9)</f>
        <v>-165537000</v>
      </c>
      <c r="BJ9" s="72">
        <v>-29246000</v>
      </c>
      <c r="BK9" s="72">
        <v>-38480000</v>
      </c>
      <c r="BL9" s="72">
        <v>-37807000</v>
      </c>
      <c r="BM9" s="72">
        <v>-73823000</v>
      </c>
      <c r="BN9" s="72">
        <f>SUM(BJ9:BM9)</f>
        <v>-179356000</v>
      </c>
      <c r="BP9" s="72">
        <v>-40399000</v>
      </c>
      <c r="BQ9" s="72">
        <v>-37870000</v>
      </c>
      <c r="BR9" s="72">
        <v>-27257000</v>
      </c>
      <c r="BS9" s="72">
        <v>-27496000</v>
      </c>
      <c r="BT9" s="72">
        <v>-133022000</v>
      </c>
      <c r="BX9" s="167"/>
      <c r="BZ9" s="72">
        <f>+Z9</f>
        <v>-804000</v>
      </c>
      <c r="CA9" s="72">
        <f>SUM($Z9:AA9)</f>
        <v>10880000</v>
      </c>
      <c r="CB9" s="72">
        <f>SUM($Z9:AB9)</f>
        <v>29586000</v>
      </c>
      <c r="CC9" s="72">
        <f>SUM($Z9:AC9)</f>
        <v>29586000</v>
      </c>
      <c r="CD9" s="72">
        <f>+CC9</f>
        <v>29586000</v>
      </c>
      <c r="CF9" s="72">
        <f>+AF9</f>
        <v>7119000</v>
      </c>
      <c r="CG9" s="72">
        <f>SUM($AF9:AG9)</f>
        <v>21758000</v>
      </c>
      <c r="CH9" s="72">
        <f>SUM($AF9:AH9)</f>
        <v>43566000</v>
      </c>
      <c r="CI9" s="72">
        <f>SUM($AF9:AI9)</f>
        <v>34361000</v>
      </c>
      <c r="CJ9" s="72">
        <f>+CI9</f>
        <v>34361000</v>
      </c>
      <c r="CL9" s="72">
        <f>+AL9</f>
        <v>-24903000</v>
      </c>
      <c r="CM9" s="72">
        <f>SUM($AL9:AM9)</f>
        <v>-51777000</v>
      </c>
      <c r="CN9" s="72">
        <f>SUM($AL9:AN9)</f>
        <v>-76462000</v>
      </c>
      <c r="CO9" s="72">
        <f>SUM($AL9:AO9)</f>
        <v>-118854000</v>
      </c>
      <c r="CP9" s="72">
        <f>+CO9</f>
        <v>-118854000</v>
      </c>
      <c r="CR9" s="72">
        <f>+AR9</f>
        <v>13000000</v>
      </c>
      <c r="CS9" s="72">
        <f>SUM($AR9:AS9)</f>
        <v>6968000</v>
      </c>
      <c r="CT9" s="72">
        <f>SUM($AR9:AT9)</f>
        <v>-7059000</v>
      </c>
      <c r="CU9" s="72">
        <f>SUM($AR9:AU9)</f>
        <v>-35075000</v>
      </c>
      <c r="CV9" s="72">
        <f>+CU9</f>
        <v>-35075000</v>
      </c>
      <c r="CX9" s="72">
        <f>+AX9</f>
        <v>-25544000</v>
      </c>
      <c r="CY9" s="72">
        <f>SUM($AX9:AY9)</f>
        <v>-52621000</v>
      </c>
      <c r="CZ9" s="72">
        <f>SUM($AX9:AZ9)</f>
        <v>-68488000</v>
      </c>
      <c r="DA9" s="72">
        <f>SUM($AX9:BA9)</f>
        <v>-120800000</v>
      </c>
      <c r="DB9" s="72">
        <f>+BB9</f>
        <v>-120800000</v>
      </c>
      <c r="DD9" s="72">
        <f>+BD9</f>
        <v>-42493000</v>
      </c>
      <c r="DE9" s="72">
        <f>SUM($BD9:BE9)</f>
        <v>-87986000</v>
      </c>
      <c r="DF9" s="72">
        <f>SUM($BD9:BF9)</f>
        <v>-126313000</v>
      </c>
      <c r="DG9" s="72">
        <f>SUM($BD9:BG9)</f>
        <v>-165537000</v>
      </c>
      <c r="DH9" s="72">
        <f>+BH9</f>
        <v>-165537000</v>
      </c>
      <c r="DJ9" s="72">
        <f>+BJ9</f>
        <v>-29246000</v>
      </c>
      <c r="DK9" s="72">
        <f>SUM($BJ9:BK9)</f>
        <v>-67726000</v>
      </c>
      <c r="DL9" s="72">
        <f>SUM($BJ9:BL9)</f>
        <v>-105533000</v>
      </c>
      <c r="DM9" s="72">
        <f>SUM($BJ9:BM9)</f>
        <v>-179356000</v>
      </c>
      <c r="DN9" s="72">
        <f>+BN9</f>
        <v>-179356000</v>
      </c>
      <c r="DP9" s="72">
        <f>+BP9</f>
        <v>-40399000</v>
      </c>
      <c r="DQ9" s="72">
        <f>SUM($BP9:BQ9)</f>
        <v>-78269000</v>
      </c>
      <c r="DR9" s="72">
        <f>SUM($BP9:BR9)</f>
        <v>-105526000</v>
      </c>
      <c r="DS9" s="72">
        <f>SUM($BP9:BS9)</f>
        <v>-133022000</v>
      </c>
      <c r="DT9" s="72">
        <f>+BT9</f>
        <v>-133022000</v>
      </c>
    </row>
    <row r="10" spans="1:124" ht="12.5" customHeight="1" x14ac:dyDescent="0.25">
      <c r="A10" s="130" t="s">
        <v>192</v>
      </c>
      <c r="C10" s="75">
        <f>HLOOKUP(C$7,$X$7:$BX$49,$O10,FALSE)</f>
        <v>9184000</v>
      </c>
      <c r="E10" s="75">
        <f>HLOOKUP(E$7,$X$7:$BX$49,$O10,FALSE)</f>
        <v>8429000</v>
      </c>
      <c r="G10" s="75">
        <f>HLOOKUP(G$7,$X$7:$BX$49,$O10,FALSE)</f>
        <v>5835000</v>
      </c>
      <c r="I10" s="75">
        <f>HLOOKUP(I$7,$BX$7:$DU$39,$O10,FALSE)</f>
        <v>25821000</v>
      </c>
      <c r="K10" s="75">
        <f>HLOOKUP(K$7,$BX$7:$DU$39,$O10,FALSE)</f>
        <v>27297000</v>
      </c>
      <c r="M10" s="75">
        <f>HLOOKUP(M$7,$BX$7:$DU$39,$O10,FALSE)</f>
        <v>11712000</v>
      </c>
      <c r="O10" s="191">
        <f t="shared" si="0"/>
        <v>4</v>
      </c>
      <c r="X10" s="172"/>
      <c r="Z10" s="75">
        <f>+'1.Input IS Trend &amp; EPS'!AZ29</f>
        <v>6685000</v>
      </c>
      <c r="AA10" s="75">
        <f>+'1.Input IS Trend &amp; EPS'!BA29</f>
        <v>9952000</v>
      </c>
      <c r="AB10" s="75">
        <f>+'1.Input IS Trend &amp; EPS'!BB29</f>
        <v>9184000</v>
      </c>
      <c r="AC10" s="75">
        <f>+'1.Input IS Trend &amp; EPS'!BC29</f>
        <v>0</v>
      </c>
      <c r="AD10" s="75">
        <f>SUM(Z10:AC10)</f>
        <v>25821000</v>
      </c>
      <c r="AF10" s="75">
        <f>+'1.Input IS Trend &amp; EPS'!BF29</f>
        <v>8705000</v>
      </c>
      <c r="AG10" s="75">
        <f>+'1.Input IS Trend &amp; EPS'!BG29</f>
        <v>10163000</v>
      </c>
      <c r="AH10" s="75">
        <f>+'1.Input IS Trend &amp; EPS'!BH29</f>
        <v>8429000</v>
      </c>
      <c r="AI10" s="75">
        <f>+'1.Input IS Trend &amp; EPS'!BI29</f>
        <v>-3027000</v>
      </c>
      <c r="AJ10" s="75">
        <f>SUM(AF10:AI10)</f>
        <v>24270000</v>
      </c>
      <c r="AL10" s="75">
        <f>+'1.Input IS Trend &amp; EPS'!BL29</f>
        <v>2315000</v>
      </c>
      <c r="AM10" s="75">
        <f>+'1.Input IS Trend &amp; EPS'!BM29</f>
        <v>3562000</v>
      </c>
      <c r="AN10" s="75">
        <f>+'1.Input IS Trend &amp; EPS'!BN29</f>
        <v>5835000</v>
      </c>
      <c r="AO10" s="75">
        <f>+'1.Input IS Trend &amp; EPS'!BO29</f>
        <v>-6460000</v>
      </c>
      <c r="AP10" s="75">
        <f>SUM(AL10:AO10)</f>
        <v>5252000</v>
      </c>
      <c r="AR10" s="75">
        <f>+'1.Input IS Trend &amp; EPS'!BR29</f>
        <v>-4365000</v>
      </c>
      <c r="AS10" s="75">
        <f>+'1.Input IS Trend &amp; EPS'!BS29</f>
        <v>399000</v>
      </c>
      <c r="AT10" s="75">
        <f>+'1.Input IS Trend &amp; EPS'!BT29</f>
        <v>1348000</v>
      </c>
      <c r="AU10" s="75">
        <f>+'1.Input IS Trend &amp; EPS'!BU29</f>
        <v>1376000</v>
      </c>
      <c r="AV10" s="75">
        <f>SUM(AR10:AU10)</f>
        <v>-1242000</v>
      </c>
      <c r="AX10" s="75">
        <f>+'1.Input IS Trend &amp; EPS'!BX29</f>
        <v>-3816000</v>
      </c>
      <c r="AY10" s="75">
        <f>+'1.Input IS Trend &amp; EPS'!BY29</f>
        <v>-3109000</v>
      </c>
      <c r="AZ10" s="75">
        <f>+'1.Input IS Trend &amp; EPS'!BZ29</f>
        <v>-4142000</v>
      </c>
      <c r="BA10" s="75">
        <f>+'1.Input IS Trend &amp; EPS'!CA29</f>
        <v>-19465000</v>
      </c>
      <c r="BB10" s="75">
        <f>SUM(AX10:BA10)</f>
        <v>-30532000</v>
      </c>
      <c r="BD10" s="75">
        <f>+'1.Input IS Trend &amp; EPS'!CD29</f>
        <v>-353000</v>
      </c>
      <c r="BE10" s="75">
        <f>+'1.Input IS Trend &amp; EPS'!CE29</f>
        <v>-5291000</v>
      </c>
      <c r="BF10" s="75">
        <f>+'1.Input IS Trend &amp; EPS'!CF29</f>
        <v>-287000</v>
      </c>
      <c r="BG10" s="75">
        <f>+'1.Input IS Trend &amp; EPS'!CG29</f>
        <v>-34345000</v>
      </c>
      <c r="BH10" s="75">
        <f>SUM(BD10:BG10)</f>
        <v>-40276000</v>
      </c>
      <c r="BJ10" s="75">
        <v>-1428000</v>
      </c>
      <c r="BK10" s="75">
        <v>2700000</v>
      </c>
      <c r="BL10" s="75">
        <v>-22546000</v>
      </c>
      <c r="BM10" s="75">
        <v>-24135000</v>
      </c>
      <c r="BN10" s="75">
        <f>SUM(BJ10:BM10)</f>
        <v>-45409000</v>
      </c>
      <c r="BP10" s="75">
        <v>-14184000</v>
      </c>
      <c r="BQ10" s="75">
        <v>-12679000</v>
      </c>
      <c r="BR10" s="75">
        <v>-30374000</v>
      </c>
      <c r="BS10" s="75">
        <v>-8486000</v>
      </c>
      <c r="BT10" s="75">
        <v>-65723000</v>
      </c>
      <c r="BX10" s="167"/>
      <c r="BZ10" s="75">
        <f>+Z10</f>
        <v>6685000</v>
      </c>
      <c r="CA10" s="75">
        <f>SUM($Z10:AA10)</f>
        <v>16637000</v>
      </c>
      <c r="CB10" s="75">
        <f>SUM($Z10:AB10)</f>
        <v>25821000</v>
      </c>
      <c r="CC10" s="75">
        <f>SUM($Z10:AC10)</f>
        <v>25821000</v>
      </c>
      <c r="CD10" s="75">
        <f>+CC10</f>
        <v>25821000</v>
      </c>
      <c r="CF10" s="75">
        <f>+AF10</f>
        <v>8705000</v>
      </c>
      <c r="CG10" s="75">
        <f>SUM($AF10:AG10)</f>
        <v>18868000</v>
      </c>
      <c r="CH10" s="75">
        <f>SUM($AF10:AH10)</f>
        <v>27297000</v>
      </c>
      <c r="CI10" s="75">
        <f>SUM($AF10:AI10)</f>
        <v>24270000</v>
      </c>
      <c r="CJ10" s="75">
        <f>+CI10</f>
        <v>24270000</v>
      </c>
      <c r="CL10" s="75">
        <f>+AL10</f>
        <v>2315000</v>
      </c>
      <c r="CM10" s="75">
        <f>SUM($AL10:AM10)</f>
        <v>5877000</v>
      </c>
      <c r="CN10" s="75">
        <f>SUM($AL10:AN10)</f>
        <v>11712000</v>
      </c>
      <c r="CO10" s="75">
        <f>SUM($AL10:AO10)</f>
        <v>5252000</v>
      </c>
      <c r="CP10" s="75">
        <f>+CO10</f>
        <v>5252000</v>
      </c>
      <c r="CR10" s="75">
        <f>+AR10</f>
        <v>-4365000</v>
      </c>
      <c r="CS10" s="75">
        <f>SUM($AR10:AS10)</f>
        <v>-3966000</v>
      </c>
      <c r="CT10" s="75">
        <f>SUM($AR10:AT10)</f>
        <v>-2618000</v>
      </c>
      <c r="CU10" s="75">
        <f>SUM($AR10:AU10)</f>
        <v>-1242000</v>
      </c>
      <c r="CV10" s="75">
        <f>+CU10</f>
        <v>-1242000</v>
      </c>
      <c r="CX10" s="75">
        <f>+AX10</f>
        <v>-3816000</v>
      </c>
      <c r="CY10" s="75">
        <f>SUM($AX10:AY10)</f>
        <v>-6925000</v>
      </c>
      <c r="CZ10" s="75">
        <f>SUM($AX10:AZ10)</f>
        <v>-11067000</v>
      </c>
      <c r="DA10" s="75">
        <f>SUM($AX10:BA10)</f>
        <v>-30532000</v>
      </c>
      <c r="DB10" s="75">
        <f>+BB10</f>
        <v>-30532000</v>
      </c>
      <c r="DD10" s="75">
        <f>+BD10</f>
        <v>-353000</v>
      </c>
      <c r="DE10" s="75">
        <f>SUM($BD10:BE10)</f>
        <v>-5644000</v>
      </c>
      <c r="DF10" s="75">
        <f>SUM($BD10:BF10)</f>
        <v>-5931000</v>
      </c>
      <c r="DG10" s="75">
        <f>SUM($BD10:BG10)</f>
        <v>-40276000</v>
      </c>
      <c r="DH10" s="75">
        <f>+BH10</f>
        <v>-40276000</v>
      </c>
      <c r="DJ10" s="75">
        <f>+BJ10</f>
        <v>-1428000</v>
      </c>
      <c r="DK10" s="75">
        <f>SUM($BJ10:BK10)</f>
        <v>1272000</v>
      </c>
      <c r="DL10" s="75">
        <f>SUM($BJ10:BL10)</f>
        <v>-21274000</v>
      </c>
      <c r="DM10" s="75">
        <f>SUM($BJ10:BM10)</f>
        <v>-45409000</v>
      </c>
      <c r="DN10" s="75">
        <f>+BN10</f>
        <v>-45409000</v>
      </c>
      <c r="DP10" s="75">
        <f>+BP10</f>
        <v>-14184000</v>
      </c>
      <c r="DQ10" s="75">
        <f>SUM($BP10:BQ10)</f>
        <v>-26863000</v>
      </c>
      <c r="DR10" s="75">
        <f>SUM($BP10:BR10)</f>
        <v>-57237000</v>
      </c>
      <c r="DS10" s="75">
        <f>SUM($BP10:BS10)</f>
        <v>-65723000</v>
      </c>
      <c r="DT10" s="75">
        <f>+BT10</f>
        <v>-65723000</v>
      </c>
    </row>
    <row r="11" spans="1:124" ht="12.5" customHeight="1" x14ac:dyDescent="0.25">
      <c r="A11" s="130" t="s">
        <v>304</v>
      </c>
      <c r="C11" s="131">
        <f>+C9-C10</f>
        <v>9522000</v>
      </c>
      <c r="D11" s="163"/>
      <c r="E11" s="131">
        <f>+E9-E10</f>
        <v>13379000</v>
      </c>
      <c r="F11" s="163"/>
      <c r="G11" s="131">
        <f>+G9-G10</f>
        <v>-30520000</v>
      </c>
      <c r="I11" s="131">
        <f>+I9-I10</f>
        <v>3765000</v>
      </c>
      <c r="J11" s="163"/>
      <c r="K11" s="131">
        <f>+K9-K10</f>
        <v>16269000</v>
      </c>
      <c r="L11" s="163"/>
      <c r="M11" s="131">
        <f>+M9-M10</f>
        <v>-88174000</v>
      </c>
      <c r="O11" s="191">
        <f t="shared" si="0"/>
        <v>5</v>
      </c>
      <c r="X11" s="172"/>
      <c r="Z11" s="131">
        <f>+Z9-Z10</f>
        <v>-7489000</v>
      </c>
      <c r="AA11" s="131">
        <f>+AA9-AA10</f>
        <v>1732000</v>
      </c>
      <c r="AB11" s="131">
        <f>+AB9-AB10</f>
        <v>9522000</v>
      </c>
      <c r="AC11" s="131">
        <f>+AC9-AC10</f>
        <v>0</v>
      </c>
      <c r="AD11" s="131">
        <f>+AD9-AD10</f>
        <v>3765000</v>
      </c>
      <c r="AF11" s="131">
        <f>+AF9-AF10</f>
        <v>-1586000</v>
      </c>
      <c r="AG11" s="131">
        <f>+AG9-AG10</f>
        <v>4476000</v>
      </c>
      <c r="AH11" s="131">
        <f>+AH9-AH10</f>
        <v>13379000</v>
      </c>
      <c r="AI11" s="131">
        <f>+AI9-AI10</f>
        <v>-6178000</v>
      </c>
      <c r="AJ11" s="131">
        <f>+AJ9-AJ10</f>
        <v>10091000</v>
      </c>
      <c r="AL11" s="131">
        <f>+AL9-AL10</f>
        <v>-27218000</v>
      </c>
      <c r="AM11" s="131">
        <f>+AM9-AM10</f>
        <v>-30436000</v>
      </c>
      <c r="AN11" s="131">
        <f>+AN9-AN10</f>
        <v>-30520000</v>
      </c>
      <c r="AO11" s="131">
        <f>+AO9-AO10</f>
        <v>-35932000</v>
      </c>
      <c r="AP11" s="131">
        <f>+AP9-AP10</f>
        <v>-124106000</v>
      </c>
      <c r="AR11" s="131">
        <f>+AR9-AR10</f>
        <v>17365000</v>
      </c>
      <c r="AS11" s="131">
        <f>+AS9-AS10</f>
        <v>-6431000</v>
      </c>
      <c r="AT11" s="131">
        <f>+AT9-AT10</f>
        <v>-15375000</v>
      </c>
      <c r="AU11" s="131">
        <f>+AU9-AU10</f>
        <v>-29392000</v>
      </c>
      <c r="AV11" s="131">
        <f>+AV9-AV10</f>
        <v>-33833000</v>
      </c>
      <c r="AX11" s="131">
        <f>+AX9-AX10</f>
        <v>-21728000</v>
      </c>
      <c r="AY11" s="131">
        <f>+AY9-AY10</f>
        <v>-23968000</v>
      </c>
      <c r="AZ11" s="131">
        <f>+AZ9-AZ10</f>
        <v>-11725000</v>
      </c>
      <c r="BA11" s="131">
        <f>+BA9-BA10</f>
        <v>-32847000</v>
      </c>
      <c r="BB11" s="131">
        <f>+BB9-BB10</f>
        <v>-90268000</v>
      </c>
      <c r="BD11" s="131">
        <f>+BD9-BD10</f>
        <v>-42140000</v>
      </c>
      <c r="BE11" s="131">
        <f>+BE9-BE10</f>
        <v>-40202000</v>
      </c>
      <c r="BF11" s="131">
        <f>+BF9-BF10</f>
        <v>-38040000</v>
      </c>
      <c r="BG11" s="131">
        <f>+BG9-BG10</f>
        <v>-4879000</v>
      </c>
      <c r="BH11" s="131">
        <f>+BH9-BH10</f>
        <v>-125261000</v>
      </c>
      <c r="BJ11" s="131">
        <f>+BJ9-BJ10</f>
        <v>-27818000</v>
      </c>
      <c r="BK11" s="131">
        <f>+BK9-BK10</f>
        <v>-41180000</v>
      </c>
      <c r="BL11" s="131">
        <f>+BL9-BL10</f>
        <v>-15261000</v>
      </c>
      <c r="BM11" s="131">
        <f>+BM9-BM10</f>
        <v>-49688000</v>
      </c>
      <c r="BN11" s="131">
        <f>+BN9-BN10</f>
        <v>-133947000</v>
      </c>
      <c r="BP11" s="131">
        <f>+BP9-BP10</f>
        <v>-26215000</v>
      </c>
      <c r="BQ11" s="131">
        <f>+BQ9-BQ10</f>
        <v>-25191000</v>
      </c>
      <c r="BR11" s="131">
        <f>+BR9-BR10</f>
        <v>3117000</v>
      </c>
      <c r="BS11" s="131">
        <f>+BS9-BS10</f>
        <v>-19010000</v>
      </c>
      <c r="BT11" s="131">
        <f>+BT9-BT10</f>
        <v>-67299000</v>
      </c>
      <c r="BX11" s="167"/>
      <c r="BZ11" s="131">
        <f>+BZ9-BZ10</f>
        <v>-7489000</v>
      </c>
      <c r="CA11" s="131">
        <f>+CA9-CA10</f>
        <v>-5757000</v>
      </c>
      <c r="CB11" s="131">
        <f>+CB9-CB10</f>
        <v>3765000</v>
      </c>
      <c r="CC11" s="131">
        <f>+CC9-CC10</f>
        <v>3765000</v>
      </c>
      <c r="CD11" s="131">
        <f>+CD9-CD10</f>
        <v>3765000</v>
      </c>
      <c r="CF11" s="131">
        <f>+CF9-CF10</f>
        <v>-1586000</v>
      </c>
      <c r="CG11" s="131">
        <f>+CG9-CG10</f>
        <v>2890000</v>
      </c>
      <c r="CH11" s="131">
        <f>+CH9-CH10</f>
        <v>16269000</v>
      </c>
      <c r="CI11" s="131">
        <f>+CI9-CI10</f>
        <v>10091000</v>
      </c>
      <c r="CJ11" s="131">
        <f>+CJ9-CJ10</f>
        <v>10091000</v>
      </c>
      <c r="CL11" s="131">
        <f>+CL9-CL10</f>
        <v>-27218000</v>
      </c>
      <c r="CM11" s="131">
        <f>+CM9-CM10</f>
        <v>-57654000</v>
      </c>
      <c r="CN11" s="131">
        <f>+CN9-CN10</f>
        <v>-88174000</v>
      </c>
      <c r="CO11" s="131">
        <f>+CO9-CO10</f>
        <v>-124106000</v>
      </c>
      <c r="CP11" s="131">
        <f>+CP9-CP10</f>
        <v>-124106000</v>
      </c>
      <c r="CR11" s="131">
        <f>+CR9-CR10</f>
        <v>17365000</v>
      </c>
      <c r="CS11" s="131">
        <f>+CS9-CS10</f>
        <v>10934000</v>
      </c>
      <c r="CT11" s="131">
        <f>+CT9-CT10</f>
        <v>-4441000</v>
      </c>
      <c r="CU11" s="131">
        <f>+CU9-CU10</f>
        <v>-33833000</v>
      </c>
      <c r="CV11" s="131">
        <f>+CV9-CV10</f>
        <v>-33833000</v>
      </c>
      <c r="CX11" s="131">
        <f>+CX9-CX10</f>
        <v>-21728000</v>
      </c>
      <c r="CY11" s="131">
        <f>+CY9-CY10</f>
        <v>-45696000</v>
      </c>
      <c r="CZ11" s="131">
        <f>+CZ9-CZ10</f>
        <v>-57421000</v>
      </c>
      <c r="DA11" s="131">
        <f>+DA9-DA10</f>
        <v>-90268000</v>
      </c>
      <c r="DB11" s="131">
        <f>+DB9-DB10</f>
        <v>-90268000</v>
      </c>
      <c r="DD11" s="131">
        <f>+DD9-DD10</f>
        <v>-42140000</v>
      </c>
      <c r="DE11" s="131">
        <f>+DE9-DE10</f>
        <v>-82342000</v>
      </c>
      <c r="DF11" s="131">
        <f>+DF9-DF10</f>
        <v>-120382000</v>
      </c>
      <c r="DG11" s="131">
        <f>+DG9-DG10</f>
        <v>-125261000</v>
      </c>
      <c r="DH11" s="131">
        <f>+DH9-DH10</f>
        <v>-125261000</v>
      </c>
      <c r="DJ11" s="131">
        <f>+DJ9-DJ10</f>
        <v>-27818000</v>
      </c>
      <c r="DK11" s="131">
        <f>+DK9-DK10</f>
        <v>-68998000</v>
      </c>
      <c r="DL11" s="131">
        <f>+DL9-DL10</f>
        <v>-84259000</v>
      </c>
      <c r="DM11" s="131">
        <f>+DM9-DM10</f>
        <v>-133947000</v>
      </c>
      <c r="DN11" s="131">
        <f>+DN9-DN10</f>
        <v>-133947000</v>
      </c>
      <c r="DP11" s="131">
        <f>+DP9-DP10</f>
        <v>-26215000</v>
      </c>
      <c r="DQ11" s="131">
        <f>+DQ9-DQ10</f>
        <v>-51406000</v>
      </c>
      <c r="DR11" s="131">
        <f>+DR9-DR10</f>
        <v>-48289000</v>
      </c>
      <c r="DS11" s="131">
        <f>+DS9-DS10</f>
        <v>-67299000</v>
      </c>
      <c r="DT11" s="131">
        <f>+DT9-DT10</f>
        <v>-67299000</v>
      </c>
    </row>
    <row r="12" spans="1:124" ht="12.5" customHeight="1" x14ac:dyDescent="0.25">
      <c r="O12" s="191">
        <f t="shared" si="0"/>
        <v>6</v>
      </c>
      <c r="X12" s="167"/>
      <c r="BX12" s="167"/>
    </row>
    <row r="13" spans="1:124" ht="12.5" customHeight="1" x14ac:dyDescent="0.25">
      <c r="A13" s="217" t="s">
        <v>193</v>
      </c>
      <c r="C13" s="72">
        <f>HLOOKUP(C$7,$X$7:$BX$49,$O13,FALSE)</f>
        <v>1688000</v>
      </c>
      <c r="E13" s="72">
        <f>HLOOKUP(E$7,$X$7:$BX$49,$O13,FALSE)</f>
        <v>598000</v>
      </c>
      <c r="G13" s="72">
        <f>HLOOKUP(G$7,$X$7:$BX$49,$O13,FALSE)</f>
        <v>836000</v>
      </c>
      <c r="I13" s="72">
        <f>HLOOKUP(I$7,$BX$7:$DU$39,$O13,FALSE)</f>
        <v>1688000</v>
      </c>
      <c r="K13" s="72">
        <f>HLOOKUP(K$7,$BX$7:$DU$39,$O13,FALSE)</f>
        <v>985000</v>
      </c>
      <c r="M13" s="72">
        <f>HLOOKUP(M$7,$BX$7:$DU$39,$O13,FALSE)</f>
        <v>836000</v>
      </c>
      <c r="O13" s="191">
        <f t="shared" si="0"/>
        <v>7</v>
      </c>
      <c r="X13" s="167"/>
      <c r="Z13" s="72">
        <f>+'1.Input IS Trend &amp; EPS'!AZ32</f>
        <v>0</v>
      </c>
      <c r="AA13" s="72">
        <f>+'1.Input IS Trend &amp; EPS'!BA32</f>
        <v>0</v>
      </c>
      <c r="AB13" s="72">
        <f>+'1.Input IS Trend &amp; EPS'!BB32</f>
        <v>1688000</v>
      </c>
      <c r="AC13" s="72">
        <f>+'1.Input IS Trend &amp; EPS'!BC32</f>
        <v>0</v>
      </c>
      <c r="AD13" s="72">
        <f>SUM(Z13:AC13)</f>
        <v>1688000</v>
      </c>
      <c r="AF13" s="72">
        <f>+'1.Input IS Trend &amp; EPS'!BF32</f>
        <v>0</v>
      </c>
      <c r="AG13" s="72">
        <f>+'1.Input IS Trend &amp; EPS'!BG32</f>
        <v>387000</v>
      </c>
      <c r="AH13" s="72">
        <f>+'1.Input IS Trend &amp; EPS'!BH32</f>
        <v>598000</v>
      </c>
      <c r="AI13" s="72">
        <f>+'1.Input IS Trend &amp; EPS'!BI32</f>
        <v>805000</v>
      </c>
      <c r="AJ13" s="72">
        <f>SUM(AF13:AI13)</f>
        <v>1790000</v>
      </c>
      <c r="AL13" s="72">
        <f>+'1.Input IS Trend &amp; EPS'!BL32</f>
        <v>0</v>
      </c>
      <c r="AM13" s="72">
        <f>+'1.Input IS Trend &amp; EPS'!BM32</f>
        <v>0</v>
      </c>
      <c r="AN13" s="72">
        <f>+'1.Input IS Trend &amp; EPS'!BN32</f>
        <v>836000</v>
      </c>
      <c r="AO13" s="72">
        <f>+'1.Input IS Trend &amp; EPS'!BO32</f>
        <v>4568000</v>
      </c>
      <c r="AP13" s="72">
        <f>SUM(AL13:AO13)</f>
        <v>5404000</v>
      </c>
      <c r="AR13" s="72">
        <f>+'1.Input IS Trend &amp; EPS'!BR32</f>
        <v>0</v>
      </c>
      <c r="AS13" s="72">
        <f>+'1.Input IS Trend &amp; EPS'!BS32</f>
        <v>0</v>
      </c>
      <c r="AT13" s="72">
        <f>+'1.Input IS Trend &amp; EPS'!BT32</f>
        <v>0</v>
      </c>
      <c r="AU13" s="72">
        <f>+'1.Input IS Trend &amp; EPS'!BU32</f>
        <v>0</v>
      </c>
      <c r="AV13" s="72">
        <f>SUM(AR13:AU13)</f>
        <v>0</v>
      </c>
      <c r="AX13" s="72">
        <f>+'1.Input IS Trend &amp; EPS'!BX32</f>
        <v>0</v>
      </c>
      <c r="AY13" s="72">
        <f>+'1.Input IS Trend &amp; EPS'!BY32</f>
        <v>0</v>
      </c>
      <c r="AZ13" s="72">
        <f>+'1.Input IS Trend &amp; EPS'!BZ32</f>
        <v>0</v>
      </c>
      <c r="BA13" s="72">
        <f>+'1.Input IS Trend &amp; EPS'!CA32</f>
        <v>0</v>
      </c>
      <c r="BB13" s="72">
        <f>SUM(AX13:BA13)</f>
        <v>0</v>
      </c>
      <c r="BD13" s="72">
        <f>+'1.Input IS Trend &amp; EPS'!CD32</f>
        <v>0</v>
      </c>
      <c r="BE13" s="72">
        <f>+'1.Input IS Trend &amp; EPS'!CE32</f>
        <v>0</v>
      </c>
      <c r="BF13" s="72">
        <f>+'1.Input IS Trend &amp; EPS'!CF32</f>
        <v>0</v>
      </c>
      <c r="BG13" s="72">
        <f>+'1.Input IS Trend &amp; EPS'!CG32</f>
        <v>750000</v>
      </c>
      <c r="BH13" s="72">
        <f>SUM(BD13:BG13)</f>
        <v>750000</v>
      </c>
      <c r="BJ13" s="72">
        <v>24803000</v>
      </c>
      <c r="BK13" s="72">
        <v>61803000</v>
      </c>
      <c r="BL13" s="72">
        <v>1071661000</v>
      </c>
      <c r="BM13" s="72">
        <v>4227000</v>
      </c>
      <c r="BN13" s="72">
        <f>SUM(BJ13:BM13)</f>
        <v>1162494000</v>
      </c>
      <c r="BP13" s="72">
        <v>24915000</v>
      </c>
      <c r="BQ13" s="72">
        <v>21855000</v>
      </c>
      <c r="BR13" s="72">
        <v>19824000</v>
      </c>
      <c r="BS13" s="72">
        <v>24185000</v>
      </c>
      <c r="BT13" s="72">
        <v>90779000</v>
      </c>
      <c r="BX13" s="167"/>
      <c r="BZ13" s="72">
        <f>+Z13</f>
        <v>0</v>
      </c>
      <c r="CA13" s="72">
        <f>SUM($Z13:AA13)</f>
        <v>0</v>
      </c>
      <c r="CB13" s="72">
        <f>SUM($Z13:AB13)</f>
        <v>1688000</v>
      </c>
      <c r="CC13" s="72">
        <f>SUM($Z13:AC13)</f>
        <v>1688000</v>
      </c>
      <c r="CD13" s="72">
        <f>+CC13</f>
        <v>1688000</v>
      </c>
      <c r="CF13" s="72">
        <f>+AF13</f>
        <v>0</v>
      </c>
      <c r="CG13" s="72">
        <f>SUM($AF13:AG13)</f>
        <v>387000</v>
      </c>
      <c r="CH13" s="72">
        <f>SUM($AF13:AH13)</f>
        <v>985000</v>
      </c>
      <c r="CI13" s="72">
        <f>SUM($AF13:AI13)</f>
        <v>1790000</v>
      </c>
      <c r="CJ13" s="72">
        <f>+CI13</f>
        <v>1790000</v>
      </c>
      <c r="CL13" s="72">
        <f>+AL13</f>
        <v>0</v>
      </c>
      <c r="CM13" s="72">
        <f>SUM($AL13:AM13)</f>
        <v>0</v>
      </c>
      <c r="CN13" s="72">
        <f>SUM($AL13:AN13)</f>
        <v>836000</v>
      </c>
      <c r="CO13" s="72">
        <f>SUM($AL13:AO13)</f>
        <v>5404000</v>
      </c>
      <c r="CP13" s="72">
        <f>+CO13</f>
        <v>5404000</v>
      </c>
      <c r="CR13" s="72">
        <f>+AR13</f>
        <v>0</v>
      </c>
      <c r="CS13" s="72">
        <f>SUM($AR13:AS13)</f>
        <v>0</v>
      </c>
      <c r="CT13" s="72">
        <f>SUM($AR13:AT13)</f>
        <v>0</v>
      </c>
      <c r="CU13" s="72">
        <f>SUM($AR13:AU13)</f>
        <v>0</v>
      </c>
      <c r="CV13" s="72">
        <f>+CU13</f>
        <v>0</v>
      </c>
      <c r="CX13" s="72">
        <f>+AX13</f>
        <v>0</v>
      </c>
      <c r="CY13" s="72">
        <f>SUM($AX13:AY13)</f>
        <v>0</v>
      </c>
      <c r="CZ13" s="72">
        <f>SUM($AX13:AZ13)</f>
        <v>0</v>
      </c>
      <c r="DA13" s="72">
        <f>SUM($AX13:BA13)</f>
        <v>0</v>
      </c>
      <c r="DB13" s="72">
        <f>+BB13</f>
        <v>0</v>
      </c>
      <c r="DD13" s="72">
        <f>+BD13</f>
        <v>0</v>
      </c>
      <c r="DE13" s="72">
        <f>SUM($BD13:BE13)</f>
        <v>0</v>
      </c>
      <c r="DF13" s="72">
        <f>SUM($BD13:BF13)</f>
        <v>0</v>
      </c>
      <c r="DG13" s="72">
        <f>SUM($BD13:BG13)</f>
        <v>750000</v>
      </c>
      <c r="DH13" s="72">
        <f>+BH13</f>
        <v>750000</v>
      </c>
      <c r="DJ13" s="72">
        <f>+BJ13</f>
        <v>24803000</v>
      </c>
      <c r="DK13" s="72">
        <f>SUM($BJ13:BK13)</f>
        <v>86606000</v>
      </c>
      <c r="DL13" s="72">
        <f>SUM($BJ13:BL13)</f>
        <v>1158267000</v>
      </c>
      <c r="DM13" s="72">
        <f>SUM($BJ13:BM13)</f>
        <v>1162494000</v>
      </c>
      <c r="DN13" s="72">
        <f>+BN13</f>
        <v>1162494000</v>
      </c>
      <c r="DP13" s="72">
        <f>+BP13</f>
        <v>24915000</v>
      </c>
      <c r="DQ13" s="72">
        <f>SUM($BP13:BQ13)</f>
        <v>46770000</v>
      </c>
      <c r="DR13" s="72">
        <f>SUM($BP13:BR13)</f>
        <v>66594000</v>
      </c>
      <c r="DS13" s="72">
        <f>SUM($BP13:BS13)</f>
        <v>90779000</v>
      </c>
      <c r="DT13" s="72">
        <f>+BT13</f>
        <v>90779000</v>
      </c>
    </row>
    <row r="14" spans="1:124" ht="12.5" customHeight="1" x14ac:dyDescent="0.25">
      <c r="O14" s="191">
        <f t="shared" si="0"/>
        <v>8</v>
      </c>
      <c r="X14" s="167"/>
      <c r="BX14" s="167"/>
    </row>
    <row r="15" spans="1:124" ht="12.5" customHeight="1" x14ac:dyDescent="0.25">
      <c r="A15" s="217" t="s">
        <v>194</v>
      </c>
      <c r="C15" s="80">
        <f>C11+C13</f>
        <v>11210000</v>
      </c>
      <c r="D15" s="241"/>
      <c r="E15" s="80">
        <f>E11+E13</f>
        <v>13977000</v>
      </c>
      <c r="F15" s="241"/>
      <c r="G15" s="80">
        <f>G11+G13</f>
        <v>-29684000</v>
      </c>
      <c r="I15" s="80">
        <f>I11+I13</f>
        <v>5453000</v>
      </c>
      <c r="J15" s="241"/>
      <c r="K15" s="80">
        <f>K11+K13</f>
        <v>17254000</v>
      </c>
      <c r="L15" s="241"/>
      <c r="M15" s="80">
        <f>M11+M13</f>
        <v>-87338000</v>
      </c>
      <c r="O15" s="191">
        <f t="shared" si="0"/>
        <v>9</v>
      </c>
      <c r="X15" s="167"/>
      <c r="Z15" s="80">
        <f>+'1.Input IS Trend &amp; EPS'!AZ34</f>
        <v>-7489000</v>
      </c>
      <c r="AA15" s="80">
        <f>+'1.Input IS Trend &amp; EPS'!BA34</f>
        <v>1732000</v>
      </c>
      <c r="AB15" s="80">
        <f>+'1.Input IS Trend &amp; EPS'!BB34</f>
        <v>11210000</v>
      </c>
      <c r="AC15" s="80">
        <f>+'1.Input IS Trend &amp; EPS'!BC34</f>
        <v>0</v>
      </c>
      <c r="AD15" s="80">
        <f>AD11+AD13</f>
        <v>5453000</v>
      </c>
      <c r="AF15" s="80">
        <f>+'1.Input IS Trend &amp; EPS'!BF34</f>
        <v>-1586000</v>
      </c>
      <c r="AG15" s="80">
        <f>+'1.Input IS Trend &amp; EPS'!BG34</f>
        <v>4863000</v>
      </c>
      <c r="AH15" s="80">
        <f>+'1.Input IS Trend &amp; EPS'!BH34</f>
        <v>13977000</v>
      </c>
      <c r="AI15" s="80">
        <f>+'1.Input IS Trend &amp; EPS'!BI34</f>
        <v>-5373000</v>
      </c>
      <c r="AJ15" s="80">
        <f>AJ11+AJ13</f>
        <v>11881000</v>
      </c>
      <c r="AL15" s="80">
        <f>+'1.Input IS Trend &amp; EPS'!BL34</f>
        <v>-27218000</v>
      </c>
      <c r="AM15" s="80">
        <f>+'1.Input IS Trend &amp; EPS'!BM34</f>
        <v>-30436000</v>
      </c>
      <c r="AN15" s="80">
        <f>+'1.Input IS Trend &amp; EPS'!BN34</f>
        <v>-29684000</v>
      </c>
      <c r="AO15" s="80">
        <f>+'1.Input IS Trend &amp; EPS'!BO34</f>
        <v>-31364000</v>
      </c>
      <c r="AP15" s="80">
        <f>AP11+AP13</f>
        <v>-118702000</v>
      </c>
      <c r="AR15" s="80">
        <f>+'1.Input IS Trend &amp; EPS'!BR34</f>
        <v>17365000</v>
      </c>
      <c r="AS15" s="80">
        <f>+'1.Input IS Trend &amp; EPS'!BS34</f>
        <v>-6431000</v>
      </c>
      <c r="AT15" s="80">
        <f>+'1.Input IS Trend &amp; EPS'!BT34</f>
        <v>-15375000</v>
      </c>
      <c r="AU15" s="80">
        <f>+'1.Input IS Trend &amp; EPS'!BU34</f>
        <v>-29392000</v>
      </c>
      <c r="AV15" s="80">
        <f>AV11+AV13</f>
        <v>-33833000</v>
      </c>
      <c r="AX15" s="80">
        <f>+'1.Input IS Trend &amp; EPS'!BX34</f>
        <v>-21728000</v>
      </c>
      <c r="AY15" s="80">
        <f>+'1.Input IS Trend &amp; EPS'!BY34</f>
        <v>-23968000</v>
      </c>
      <c r="AZ15" s="80">
        <f>+'1.Input IS Trend &amp; EPS'!BZ34</f>
        <v>-11725000</v>
      </c>
      <c r="BA15" s="80">
        <f>+'1.Input IS Trend &amp; EPS'!CA34</f>
        <v>-32847000</v>
      </c>
      <c r="BB15" s="80">
        <f>BB11+BB13</f>
        <v>-90268000</v>
      </c>
      <c r="BD15" s="80">
        <f>+'1.Input IS Trend &amp; EPS'!CD34</f>
        <v>-42140000</v>
      </c>
      <c r="BE15" s="80">
        <f>+'1.Input IS Trend &amp; EPS'!CE34</f>
        <v>-40202000</v>
      </c>
      <c r="BF15" s="80">
        <f>+'1.Input IS Trend &amp; EPS'!CF34</f>
        <v>-38040000</v>
      </c>
      <c r="BG15" s="80">
        <f>+'1.Input IS Trend &amp; EPS'!CG34</f>
        <v>-4129000</v>
      </c>
      <c r="BH15" s="80">
        <f>BH11+BH13</f>
        <v>-124511000</v>
      </c>
      <c r="BJ15" s="80">
        <f>BJ11+BJ13</f>
        <v>-3015000</v>
      </c>
      <c r="BK15" s="80">
        <f>BK11+BK13</f>
        <v>20623000</v>
      </c>
      <c r="BL15" s="80">
        <f>BL11+BL13</f>
        <v>1056400000</v>
      </c>
      <c r="BM15" s="80">
        <f>BM11+BM13</f>
        <v>-45461000</v>
      </c>
      <c r="BN15" s="80">
        <f>BN11+BN13</f>
        <v>1028547000</v>
      </c>
      <c r="BP15" s="80">
        <f>BP11+BP13</f>
        <v>-1300000</v>
      </c>
      <c r="BQ15" s="80">
        <f>BQ11+BQ13</f>
        <v>-3336000</v>
      </c>
      <c r="BR15" s="80">
        <f>BR11+BR13</f>
        <v>22941000</v>
      </c>
      <c r="BS15" s="80">
        <f>BS11+BS13</f>
        <v>5175000</v>
      </c>
      <c r="BT15" s="80">
        <f>BT11+BT13</f>
        <v>23480000</v>
      </c>
      <c r="BX15" s="167"/>
      <c r="BZ15" s="80">
        <f>BZ11+BZ13</f>
        <v>-7489000</v>
      </c>
      <c r="CA15" s="80">
        <f>CA11+CA13</f>
        <v>-5757000</v>
      </c>
      <c r="CB15" s="80">
        <f>CB11+CB13</f>
        <v>5453000</v>
      </c>
      <c r="CC15" s="80">
        <f>CC11+CC13</f>
        <v>5453000</v>
      </c>
      <c r="CD15" s="80">
        <f>CD11+CD13</f>
        <v>5453000</v>
      </c>
      <c r="CF15" s="80">
        <f>CF11+CF13</f>
        <v>-1586000</v>
      </c>
      <c r="CG15" s="80">
        <f>CG11+CG13</f>
        <v>3277000</v>
      </c>
      <c r="CH15" s="80">
        <f>CH11+CH13</f>
        <v>17254000</v>
      </c>
      <c r="CI15" s="80">
        <f>CI11+CI13</f>
        <v>11881000</v>
      </c>
      <c r="CJ15" s="80">
        <f>CJ11+CJ13</f>
        <v>11881000</v>
      </c>
      <c r="CL15" s="80">
        <f>CL11+CL13</f>
        <v>-27218000</v>
      </c>
      <c r="CM15" s="80">
        <f>CM11+CM13</f>
        <v>-57654000</v>
      </c>
      <c r="CN15" s="80">
        <f>CN11+CN13</f>
        <v>-87338000</v>
      </c>
      <c r="CO15" s="80">
        <f>CO11+CO13</f>
        <v>-118702000</v>
      </c>
      <c r="CP15" s="80">
        <f>CP11+CP13</f>
        <v>-118702000</v>
      </c>
      <c r="CR15" s="80">
        <f>CR11+CR13</f>
        <v>17365000</v>
      </c>
      <c r="CS15" s="80">
        <f>CS11+CS13</f>
        <v>10934000</v>
      </c>
      <c r="CT15" s="80">
        <f>CT11+CT13</f>
        <v>-4441000</v>
      </c>
      <c r="CU15" s="80">
        <f>CU11+CU13</f>
        <v>-33833000</v>
      </c>
      <c r="CV15" s="80">
        <f>CV11+CV13</f>
        <v>-33833000</v>
      </c>
      <c r="CX15" s="80">
        <f>CX11+CX13</f>
        <v>-21728000</v>
      </c>
      <c r="CY15" s="80">
        <f>CY11+CY13</f>
        <v>-45696000</v>
      </c>
      <c r="CZ15" s="80">
        <f>CZ11+CZ13</f>
        <v>-57421000</v>
      </c>
      <c r="DA15" s="80">
        <f>DA11+DA13</f>
        <v>-90268000</v>
      </c>
      <c r="DB15" s="80">
        <f>DB11+DB13</f>
        <v>-90268000</v>
      </c>
      <c r="DD15" s="80">
        <f>DD11+DD13</f>
        <v>-42140000</v>
      </c>
      <c r="DE15" s="80">
        <f>DE11+DE13</f>
        <v>-82342000</v>
      </c>
      <c r="DF15" s="80">
        <f>DF11+DF13</f>
        <v>-120382000</v>
      </c>
      <c r="DG15" s="80">
        <f>DG11+DG13</f>
        <v>-124511000</v>
      </c>
      <c r="DH15" s="80">
        <f>DH11+DH13</f>
        <v>-124511000</v>
      </c>
      <c r="DJ15" s="80">
        <f>DJ11+DJ13</f>
        <v>-3015000</v>
      </c>
      <c r="DK15" s="80">
        <f>DK11+DK13</f>
        <v>17608000</v>
      </c>
      <c r="DL15" s="80">
        <f>DL11+DL13</f>
        <v>1074008000</v>
      </c>
      <c r="DM15" s="80">
        <f>DM11+DM13</f>
        <v>1028547000</v>
      </c>
      <c r="DN15" s="80">
        <f>DN11+DN13</f>
        <v>1028547000</v>
      </c>
      <c r="DP15" s="80">
        <f>DP11+DP13</f>
        <v>-1300000</v>
      </c>
      <c r="DQ15" s="80">
        <f>DQ11+DQ13</f>
        <v>-4636000</v>
      </c>
      <c r="DR15" s="80">
        <f>DR11+DR13</f>
        <v>18305000</v>
      </c>
      <c r="DS15" s="80">
        <f>DS11+DS13</f>
        <v>23480000</v>
      </c>
      <c r="DT15" s="80">
        <f>DT11+DT13</f>
        <v>23480000</v>
      </c>
    </row>
    <row r="16" spans="1:124" ht="12.5" customHeight="1" x14ac:dyDescent="0.25">
      <c r="C16" s="104"/>
      <c r="D16" s="104"/>
      <c r="E16" s="104"/>
      <c r="F16" s="104"/>
      <c r="G16" s="104"/>
      <c r="I16" s="104"/>
      <c r="J16" s="104"/>
      <c r="K16" s="104"/>
      <c r="L16" s="104"/>
      <c r="M16" s="104"/>
      <c r="O16" s="191">
        <f t="shared" si="0"/>
        <v>10</v>
      </c>
      <c r="X16" s="167"/>
      <c r="Z16" s="104"/>
      <c r="AA16" s="104"/>
      <c r="AB16" s="104"/>
      <c r="AC16" s="104"/>
      <c r="AD16" s="104"/>
      <c r="AF16" s="104"/>
      <c r="AG16" s="104"/>
      <c r="AH16" s="104"/>
      <c r="AI16" s="104"/>
      <c r="AJ16" s="104"/>
      <c r="AL16" s="104"/>
      <c r="AM16" s="104"/>
      <c r="AN16" s="104"/>
      <c r="AO16" s="104"/>
      <c r="AP16" s="104"/>
      <c r="AR16" s="104"/>
      <c r="AS16" s="104"/>
      <c r="AT16" s="104"/>
      <c r="AU16" s="104"/>
      <c r="AV16" s="104"/>
      <c r="AX16" s="104"/>
      <c r="AY16" s="104"/>
      <c r="AZ16" s="104"/>
      <c r="BA16" s="104"/>
      <c r="BB16" s="104"/>
      <c r="BD16" s="104"/>
      <c r="BE16" s="104"/>
      <c r="BF16" s="104"/>
      <c r="BG16" s="104"/>
      <c r="BH16" s="104"/>
      <c r="BJ16" s="104"/>
      <c r="BK16" s="104"/>
      <c r="BL16" s="104"/>
      <c r="BM16" s="104"/>
      <c r="BN16" s="104"/>
      <c r="BP16" s="104"/>
      <c r="BQ16" s="104"/>
      <c r="BR16" s="104"/>
      <c r="BS16" s="104"/>
      <c r="BT16" s="104"/>
      <c r="BX16" s="167"/>
      <c r="BZ16" s="104"/>
      <c r="CA16" s="104"/>
      <c r="CB16" s="104"/>
      <c r="CC16" s="104"/>
      <c r="CD16" s="104"/>
      <c r="CF16" s="104"/>
      <c r="CG16" s="104"/>
      <c r="CH16" s="104"/>
      <c r="CI16" s="104"/>
      <c r="CJ16" s="104"/>
      <c r="CL16" s="104"/>
      <c r="CM16" s="104"/>
      <c r="CN16" s="104"/>
      <c r="CO16" s="104"/>
      <c r="CP16" s="104"/>
      <c r="CR16" s="104"/>
      <c r="CS16" s="104"/>
      <c r="CT16" s="104"/>
      <c r="CU16" s="104"/>
      <c r="CV16" s="104"/>
      <c r="CX16" s="104"/>
      <c r="CY16" s="104"/>
      <c r="CZ16" s="104"/>
      <c r="DA16" s="104"/>
      <c r="DB16" s="104"/>
      <c r="DD16" s="104"/>
      <c r="DE16" s="104"/>
      <c r="DF16" s="104"/>
      <c r="DG16" s="104"/>
      <c r="DH16" s="104"/>
      <c r="DJ16" s="104"/>
      <c r="DK16" s="104"/>
      <c r="DL16" s="104"/>
      <c r="DM16" s="104"/>
      <c r="DN16" s="104"/>
      <c r="DP16" s="104"/>
      <c r="DQ16" s="104"/>
      <c r="DR16" s="104"/>
      <c r="DS16" s="104"/>
      <c r="DT16" s="104"/>
    </row>
    <row r="17" spans="1:124" ht="12.5" customHeight="1" x14ac:dyDescent="0.25">
      <c r="A17" s="22" t="s">
        <v>305</v>
      </c>
      <c r="O17" s="191">
        <f t="shared" si="0"/>
        <v>11</v>
      </c>
      <c r="X17" s="167"/>
      <c r="BX17" s="167"/>
    </row>
    <row r="18" spans="1:124" ht="12.5" customHeight="1" x14ac:dyDescent="0.25">
      <c r="A18" s="218" t="s">
        <v>306</v>
      </c>
      <c r="C18" s="219">
        <f>HLOOKUP(C$7,$X$7:$BX$49,$O18,FALSE)</f>
        <v>0.17080343130532827</v>
      </c>
      <c r="E18" s="219">
        <f>HLOOKUP(E$7,$X$7:$BX$49,$O18,FALSE)</f>
        <v>0.21189793969163598</v>
      </c>
      <c r="G18" s="219">
        <f>HLOOKUP(G$7,$X$7:$BX$49,$O18,FALSE)</f>
        <v>-0.45819955544578911</v>
      </c>
      <c r="I18" s="219">
        <f>HLOOKUP(I$7,$BX$7:$DU$39,$O18,FALSE)</f>
        <v>0.08</v>
      </c>
      <c r="K18" s="219">
        <f>HLOOKUP(K$7,$BX$7:$DU$39,$O18,FALSE)</f>
        <v>0.26</v>
      </c>
      <c r="M18" s="219">
        <f>HLOOKUP(M$7,$BX$7:$DU$39,$O18,FALSE)</f>
        <v>-1.31</v>
      </c>
      <c r="O18" s="191">
        <f t="shared" si="0"/>
        <v>12</v>
      </c>
      <c r="X18" s="172"/>
      <c r="Z18" s="219">
        <f>+'1.Input IS Trend &amp; EPS'!AZ39</f>
        <v>-0.11241200222152174</v>
      </c>
      <c r="AA18" s="219">
        <f>+'1.Input IS Trend &amp; EPS'!BA39</f>
        <v>2.6126044589253928E-2</v>
      </c>
      <c r="AB18" s="219">
        <f>+'1.Input IS Trend &amp; EPS'!BB39</f>
        <v>0.17080343130532827</v>
      </c>
      <c r="AC18" s="219">
        <f>+'1.Input IS Trend &amp; EPS'!BC39</f>
        <v>0</v>
      </c>
      <c r="AD18" s="219">
        <f>+'1.Input IS Trend &amp; EPS'!BD39</f>
        <v>8.2394004412075797E-2</v>
      </c>
      <c r="AF18" s="219">
        <f>+'1.Input IS Trend &amp; EPS'!BF39</f>
        <v>-2.3850700031580373E-2</v>
      </c>
      <c r="AG18" s="219">
        <f>+'1.Input IS Trend &amp; EPS'!BG39</f>
        <v>7.3366121537625978E-2</v>
      </c>
      <c r="AH18" s="219">
        <f>+'1.Input IS Trend &amp; EPS'!BH39</f>
        <v>0.21189793969163598</v>
      </c>
      <c r="AI18" s="219">
        <f>+'1.Input IS Trend &amp; EPS'!BI39</f>
        <v>-8.1012620056390691E-2</v>
      </c>
      <c r="AJ18" s="219">
        <f>+'1.Input IS Trend &amp; EPS'!BJ39</f>
        <v>0.17929254821477078</v>
      </c>
      <c r="AL18" s="219">
        <f>+'1.Input IS Trend &amp; EPS'!BL39</f>
        <v>-0.39790652456763592</v>
      </c>
      <c r="AM18" s="219">
        <f>+'1.Input IS Trend &amp; EPS'!BM39</f>
        <v>-0.45361869560033385</v>
      </c>
      <c r="AN18" s="219">
        <f>+'1.Input IS Trend &amp; EPS'!BN39</f>
        <v>-0.45819955544578911</v>
      </c>
      <c r="AO18" s="219">
        <f>+'1.Input IS Trend &amp; EPS'!BO39</f>
        <v>-0.48158953413383288</v>
      </c>
      <c r="AP18" s="219">
        <f>+'1.Input IS Trend &amp; EPS'!BP39</f>
        <v>-1.7889739570774053</v>
      </c>
      <c r="AR18" s="219">
        <f>+'1.Input IS Trend &amp; EPS'!BR39</f>
        <v>0.25414178667603327</v>
      </c>
      <c r="AS18" s="219">
        <f>+'1.Input IS Trend &amp; EPS'!BS39</f>
        <v>-9.451515240586697E-2</v>
      </c>
      <c r="AT18" s="219">
        <f>+'1.Input IS Trend &amp; EPS'!BT39</f>
        <v>-0.22547294324681039</v>
      </c>
      <c r="AU18" s="219">
        <f>+'1.Input IS Trend &amp; EPS'!BU39</f>
        <v>-0.43044388793696819</v>
      </c>
      <c r="AV18" s="219">
        <f>+'1.Input IS Trend &amp; EPS'!BV39</f>
        <v>-0.4960050431748545</v>
      </c>
      <c r="AX18" s="219">
        <f>+'1.Input IS Trend &amp; EPS'!BX39</f>
        <v>-0.33137105383559556</v>
      </c>
      <c r="AY18" s="219">
        <f>+'1.Input IS Trend &amp; EPS'!BY39</f>
        <v>-0.36309650053022269</v>
      </c>
      <c r="AZ18" s="219">
        <f>+'1.Input IS Trend &amp; EPS'!BZ39</f>
        <v>-0.17625482915683297</v>
      </c>
      <c r="BA18" s="219">
        <f>+'1.Input IS Trend &amp; EPS'!CA39</f>
        <v>-0.48944286331599884</v>
      </c>
      <c r="BB18" s="219">
        <f>+'1.Input IS Trend &amp; EPS'!CB39</f>
        <v>-1.3614364249247777</v>
      </c>
      <c r="BD18" s="219">
        <f>+'1.Input IS Trend &amp; EPS'!CD39</f>
        <v>-0.61155777435927205</v>
      </c>
      <c r="BE18" s="219">
        <f>+'1.Input IS Trend &amp; EPS'!CE39</f>
        <v>-0.59396607765498488</v>
      </c>
      <c r="BF18" s="219">
        <f>+'1.Input IS Trend &amp; EPS'!CF39</f>
        <v>-0.56378106798274863</v>
      </c>
      <c r="BG18" s="219">
        <f>+'1.Input IS Trend &amp; EPS'!CG39</f>
        <v>-6.1648028427669199E-2</v>
      </c>
      <c r="BH18" s="219">
        <f>+'1.Input IS Trend &amp; EPS'!CH39</f>
        <v>-1.8375295159386069</v>
      </c>
      <c r="BJ18" s="219">
        <v>-0.04</v>
      </c>
      <c r="BK18" s="219">
        <v>0.27</v>
      </c>
      <c r="BL18" s="219">
        <v>13.65</v>
      </c>
      <c r="BM18" s="219">
        <v>-0.67</v>
      </c>
      <c r="BN18" s="219">
        <v>13.71</v>
      </c>
      <c r="BP18" s="219">
        <v>-0.02</v>
      </c>
      <c r="BQ18" s="219">
        <v>-0.04</v>
      </c>
      <c r="BR18" s="219">
        <v>0.28999999999999998</v>
      </c>
      <c r="BS18" s="219">
        <v>7.0000000000000007E-2</v>
      </c>
      <c r="BT18" s="219">
        <v>0.3</v>
      </c>
      <c r="BX18" s="167"/>
      <c r="BZ18" s="219">
        <f>+Z18</f>
        <v>-0.11241200222152174</v>
      </c>
      <c r="CA18" s="219">
        <f>ROUND(+CA15/CA38,2)</f>
        <v>-0.09</v>
      </c>
      <c r="CB18" s="219">
        <f>ROUND(+CB15/CB38,2)</f>
        <v>0.08</v>
      </c>
      <c r="CC18" s="220" t="e">
        <f>ROUND(+CC15/CC38,3)</f>
        <v>#DIV/0!</v>
      </c>
      <c r="CD18" s="220" t="e">
        <f>ROUND(+CD15/CD38,3)</f>
        <v>#DIV/0!</v>
      </c>
      <c r="CF18" s="219">
        <f>+AF18</f>
        <v>-2.3850700031580373E-2</v>
      </c>
      <c r="CG18" s="219">
        <f>ROUND(+CG15/CG38,2)</f>
        <v>0.05</v>
      </c>
      <c r="CH18" s="219">
        <f>ROUND(+CH15/CH38,2)</f>
        <v>0.26</v>
      </c>
      <c r="CI18" s="219">
        <f>ROUND(+CI15/CI38,3)</f>
        <v>0.17899999999999999</v>
      </c>
      <c r="CJ18" s="219">
        <f>ROUND(+CJ15/CJ38,3)</f>
        <v>0.17899999999999999</v>
      </c>
      <c r="CL18" s="219">
        <f>+AL18</f>
        <v>-0.39790652456763592</v>
      </c>
      <c r="CM18" s="219">
        <f>ROUND(+CM15/CM38,2)</f>
        <v>-0.85</v>
      </c>
      <c r="CN18" s="219">
        <f>ROUND(+CN15/CN38,2)</f>
        <v>-1.31</v>
      </c>
      <c r="CO18" s="219">
        <f>ROUND(+CO15/CO38,3)</f>
        <v>-1.7889999999999999</v>
      </c>
      <c r="CP18" s="219">
        <f>ROUND(+CP15/CP38,3)</f>
        <v>-1.7889999999999999</v>
      </c>
      <c r="CR18" s="219">
        <f>+AR18</f>
        <v>0.25414178667603327</v>
      </c>
      <c r="CS18" s="219">
        <f>ROUND(+CS15/CS38,2)</f>
        <v>0.16</v>
      </c>
      <c r="CT18" s="219">
        <f>ROUND(+CT15/CT38,2)</f>
        <v>-7.0000000000000007E-2</v>
      </c>
      <c r="CU18" s="219">
        <f>ROUND(+CU15/CU38,3)</f>
        <v>-0.496</v>
      </c>
      <c r="CV18" s="219">
        <f>ROUND(+CV15/CV38,3)</f>
        <v>-0.496</v>
      </c>
      <c r="CX18" s="219">
        <f>+AX18</f>
        <v>-0.33137105383559556</v>
      </c>
      <c r="CY18" s="219">
        <f>ROUND(+CY15/CY38,2)</f>
        <v>-0.69</v>
      </c>
      <c r="CZ18" s="219">
        <f>ROUND(+CZ15/CZ38,2)</f>
        <v>-0.87</v>
      </c>
      <c r="DA18" s="219">
        <f>ROUND(+DA15/DA38,3)</f>
        <v>-1.361</v>
      </c>
      <c r="DB18" s="219">
        <f>ROUND(+DB15/DB38,3)</f>
        <v>-1.361</v>
      </c>
      <c r="DD18" s="219">
        <f>+BD18</f>
        <v>-0.61155777435927205</v>
      </c>
      <c r="DE18" s="219">
        <f>ROUND(+DE15/DE38,2)</f>
        <v>-1.21</v>
      </c>
      <c r="DF18" s="219">
        <f>ROUND(+DF15/DF38,2)</f>
        <v>-1.77</v>
      </c>
      <c r="DG18" s="219">
        <f>ROUND(+DG15/DG38,3)</f>
        <v>-1.8380000000000001</v>
      </c>
      <c r="DH18" s="219">
        <f>ROUND(+DH15/DH38,3)</f>
        <v>-1.8380000000000001</v>
      </c>
      <c r="DJ18" s="219">
        <f>+BJ18</f>
        <v>-0.04</v>
      </c>
      <c r="DK18" s="219">
        <f>ROUND(+DK15/DK38,2)</f>
        <v>0.23</v>
      </c>
      <c r="DL18" s="219">
        <f>ROUND(+DL15/DL38,2)</f>
        <v>13.9</v>
      </c>
      <c r="DM18" s="219">
        <f>ROUND(+DM15/DM38,2)</f>
        <v>13.71</v>
      </c>
      <c r="DN18" s="219">
        <f>ROUND(+DN15/DN38,2)</f>
        <v>13.71</v>
      </c>
      <c r="DP18" s="219">
        <f>+BP18</f>
        <v>-0.02</v>
      </c>
      <c r="DQ18" s="219">
        <f>ROUND(+DQ15/DQ38,2)</f>
        <v>-0.06</v>
      </c>
      <c r="DR18" s="219">
        <f>ROUND(+DR15/DR38,2)</f>
        <v>0.23</v>
      </c>
      <c r="DS18" s="219">
        <f>ROUND(+DS15/DS38,2)</f>
        <v>0.3</v>
      </c>
      <c r="DT18" s="219">
        <f>ROUND(+DT15/DT38,2)</f>
        <v>0.3</v>
      </c>
    </row>
    <row r="19" spans="1:124" ht="12.5" customHeight="1" x14ac:dyDescent="0.25">
      <c r="A19" s="218" t="s">
        <v>307</v>
      </c>
      <c r="C19" s="221">
        <f>HLOOKUP(C$7,$X$7:$BX$49,$O19,FALSE)</f>
        <v>0.16795768844672851</v>
      </c>
      <c r="D19" s="222"/>
      <c r="E19" s="221">
        <f>HLOOKUP(E$7,$X$7:$BX$49,$O19,FALSE)</f>
        <v>0.2057165565253227</v>
      </c>
      <c r="F19" s="222"/>
      <c r="G19" s="221">
        <f>HLOOKUP(G$7,$X$7:$BX$49,$O19,FALSE)</f>
        <v>-0.45819955544578911</v>
      </c>
      <c r="I19" s="221">
        <f>HLOOKUP(I$7,$BX$7:$DU$39,$O19,FALSE)</f>
        <v>0.08</v>
      </c>
      <c r="J19" s="222"/>
      <c r="K19" s="221">
        <f>HLOOKUP(K$7,$BX$7:$DU$39,$O19,FALSE)</f>
        <v>0.25</v>
      </c>
      <c r="L19" s="222"/>
      <c r="M19" s="221">
        <f>HLOOKUP(M$7,$BX$7:$DU$39,$O19,FALSE)</f>
        <v>-1.31</v>
      </c>
      <c r="O19" s="191">
        <f t="shared" si="0"/>
        <v>13</v>
      </c>
      <c r="X19" s="172"/>
      <c r="Z19" s="221">
        <f>+'1.Input IS Trend &amp; EPS'!AZ44</f>
        <v>-0.11241200222152174</v>
      </c>
      <c r="AA19" s="221">
        <f>+'1.Input IS Trend &amp; EPS'!BA44</f>
        <v>2.5732071491182458E-2</v>
      </c>
      <c r="AB19" s="221">
        <f>+'1.Input IS Trend &amp; EPS'!BB44</f>
        <v>0.16795768844672851</v>
      </c>
      <c r="AC19" s="221">
        <f>+'1.Input IS Trend &amp; EPS'!BC44</f>
        <v>0</v>
      </c>
      <c r="AD19" s="221">
        <f>+'1.Input IS Trend &amp; EPS'!BD44</f>
        <v>8.0779201540626622E-2</v>
      </c>
      <c r="AF19" s="221">
        <f>+'1.Input IS Trend &amp; EPS'!BF44</f>
        <v>-2.3850700031580373E-2</v>
      </c>
      <c r="AG19" s="221">
        <f>+'1.Input IS Trend &amp; EPS'!BG44</f>
        <v>7.1653798550126713E-2</v>
      </c>
      <c r="AH19" s="221">
        <f>+'1.Input IS Trend &amp; EPS'!BH44</f>
        <v>0.2057165565253227</v>
      </c>
      <c r="AI19" s="221">
        <f>+'1.Input IS Trend &amp; EPS'!BI44</f>
        <v>-8.1012620056390691E-2</v>
      </c>
      <c r="AJ19" s="221">
        <f>+'1.Input IS Trend &amp; EPS'!BJ44</f>
        <v>0.17493153508642775</v>
      </c>
      <c r="AL19" s="221">
        <f>+'1.Input IS Trend &amp; EPS'!BL44</f>
        <v>-0.39790652456763592</v>
      </c>
      <c r="AM19" s="221">
        <f>+'1.Input IS Trend &amp; EPS'!BM44</f>
        <v>-0.45361869560033385</v>
      </c>
      <c r="AN19" s="221">
        <f>+'1.Input IS Trend &amp; EPS'!BN44</f>
        <v>-0.45819955544578911</v>
      </c>
      <c r="AO19" s="221">
        <f>+'1.Input IS Trend &amp; EPS'!BO44</f>
        <v>-0.48158953413383288</v>
      </c>
      <c r="AP19" s="221">
        <f>+'1.Input IS Trend &amp; EPS'!BP44</f>
        <v>-1.7889739570774053</v>
      </c>
      <c r="AR19" s="221">
        <f>+'1.Input IS Trend &amp; EPS'!BR44</f>
        <v>0.24947920408016666</v>
      </c>
      <c r="AS19" s="221">
        <f>+'1.Input IS Trend &amp; EPS'!BS44</f>
        <v>-9.451515240586697E-2</v>
      </c>
      <c r="AT19" s="221">
        <f>+'1.Input IS Trend &amp; EPS'!BT44</f>
        <v>-0.22547294324681039</v>
      </c>
      <c r="AU19" s="221">
        <f>+'1.Input IS Trend &amp; EPS'!BU44</f>
        <v>-0.43044388793696819</v>
      </c>
      <c r="AV19" s="221">
        <f>+'1.Input IS Trend &amp; EPS'!BV44</f>
        <v>-0.4960050431748545</v>
      </c>
      <c r="AX19" s="221">
        <f>+'1.Input IS Trend &amp; EPS'!BX44</f>
        <v>-0.33137105383559556</v>
      </c>
      <c r="AY19" s="221">
        <f>+'1.Input IS Trend &amp; EPS'!BY44</f>
        <v>-0.36309650053022269</v>
      </c>
      <c r="AZ19" s="221">
        <f>+'1.Input IS Trend &amp; EPS'!BZ44</f>
        <v>-0.17625482915683297</v>
      </c>
      <c r="BA19" s="221">
        <f>+'1.Input IS Trend &amp; EPS'!CA44</f>
        <v>-0.48944286331599884</v>
      </c>
      <c r="BB19" s="221">
        <f>+'1.Input IS Trend &amp; EPS'!CB44</f>
        <v>-1.3614364249247777</v>
      </c>
      <c r="BD19" s="221">
        <f>+'1.Input IS Trend &amp; EPS'!CD44</f>
        <v>-0.61155777435927205</v>
      </c>
      <c r="BE19" s="221">
        <f>+'1.Input IS Trend &amp; EPS'!CE44</f>
        <v>-0.59396607765498488</v>
      </c>
      <c r="BF19" s="221">
        <f>+'1.Input IS Trend &amp; EPS'!CF44</f>
        <v>-0.56378106798274863</v>
      </c>
      <c r="BG19" s="221">
        <f>+'1.Input IS Trend &amp; EPS'!CG44</f>
        <v>-6.1648028427669199E-2</v>
      </c>
      <c r="BH19" s="221">
        <f>+'1.Input IS Trend &amp; EPS'!CH44</f>
        <v>-1.8375295159386069</v>
      </c>
      <c r="BJ19" s="221">
        <v>-0.04</v>
      </c>
      <c r="BK19" s="221">
        <v>0.27</v>
      </c>
      <c r="BL19" s="221">
        <v>13.65</v>
      </c>
      <c r="BM19" s="221">
        <v>-0.67</v>
      </c>
      <c r="BN19" s="221">
        <v>13.71</v>
      </c>
      <c r="BP19" s="221">
        <v>-0.02</v>
      </c>
      <c r="BQ19" s="221">
        <v>-0.04</v>
      </c>
      <c r="BR19" s="221">
        <v>0.28000000000000003</v>
      </c>
      <c r="BS19" s="221">
        <v>7.0000000000000007E-2</v>
      </c>
      <c r="BT19" s="221">
        <v>0.3</v>
      </c>
      <c r="BX19" s="167"/>
      <c r="BZ19" s="221">
        <f>+Z19</f>
        <v>-0.11241200222152174</v>
      </c>
      <c r="CA19" s="221">
        <f>ROUND(IF(CA11&lt;0,+CA15/CA38,+CA15/CA39),2)</f>
        <v>-0.09</v>
      </c>
      <c r="CB19" s="221">
        <f>ROUND(IF(CB11&lt;0,+CB15/CB38,+CB15/CB39),2)</f>
        <v>0.08</v>
      </c>
      <c r="CC19" s="222" t="e">
        <f>ROUND(IF(CC11&lt;0,+CC15/CC38,+CC15/CC39),3)</f>
        <v>#DIV/0!</v>
      </c>
      <c r="CD19" s="222" t="e">
        <f>ROUND(IF(CD11&lt;0,+CD15/CD38,+CD15/CD39),3)</f>
        <v>#DIV/0!</v>
      </c>
      <c r="CF19" s="221">
        <f>+AF19</f>
        <v>-2.3850700031580373E-2</v>
      </c>
      <c r="CG19" s="221">
        <f>ROUND(IF(CG11&lt;0,+CG15/CG38,+CG15/CG39),2)</f>
        <v>0.05</v>
      </c>
      <c r="CH19" s="221">
        <f>ROUND(IF(CH11&lt;0,+CH15/CH38,+CH15/CH39),2)</f>
        <v>0.25</v>
      </c>
      <c r="CI19" s="221">
        <f>ROUND(IF(CI11&lt;0,+CI15/CI38,+CI15/CI39),3)</f>
        <v>0.17499999999999999</v>
      </c>
      <c r="CJ19" s="221">
        <f>ROUND(IF(CJ11&lt;0,+CJ15/CJ38,+CJ15/CJ39),3)</f>
        <v>0.17499999999999999</v>
      </c>
      <c r="CL19" s="221">
        <f>+AL19</f>
        <v>-0.39790652456763592</v>
      </c>
      <c r="CM19" s="221">
        <f>ROUND(IF(CM11&lt;0,+CM15/CM38,+CM15/CM39),2)</f>
        <v>-0.85</v>
      </c>
      <c r="CN19" s="221">
        <f>ROUND(IF(CN11&lt;0,+CN15/CN38,+CN15/CN39),2)</f>
        <v>-1.31</v>
      </c>
      <c r="CO19" s="221">
        <f>ROUND(IF(CO11&lt;0,+CO15/CO38,+CO15/CO39),3)</f>
        <v>-1.7889999999999999</v>
      </c>
      <c r="CP19" s="221">
        <f>ROUND(IF(CP11&lt;0,+CP15/CP38,+CP15/CP39),3)</f>
        <v>-1.7889999999999999</v>
      </c>
      <c r="CR19" s="221">
        <f>+AR19</f>
        <v>0.24947920408016666</v>
      </c>
      <c r="CS19" s="221">
        <f>ROUND(IF(CS11&lt;0,+CS15/CS38,+CS15/CS39),2)</f>
        <v>0.16</v>
      </c>
      <c r="CT19" s="221">
        <f>ROUND(IF(CT11&lt;0,+CT15/CT38,+CT15/CT39),2)</f>
        <v>-7.0000000000000007E-2</v>
      </c>
      <c r="CU19" s="221">
        <f>ROUND(IF(CU11&lt;0,+CU15/CU38,+CU15/CU39),3)</f>
        <v>-0.496</v>
      </c>
      <c r="CV19" s="221">
        <f>ROUND(IF(CV11&lt;0,+CV15/CV38,+CV15/CV39),3)</f>
        <v>-0.496</v>
      </c>
      <c r="CX19" s="221">
        <f>+AX19</f>
        <v>-0.33137105383559556</v>
      </c>
      <c r="CY19" s="221">
        <f>ROUND(IF(CY11&lt;0,+CY15/CY38,+CY15/CY39),2)</f>
        <v>-0.69</v>
      </c>
      <c r="CZ19" s="221">
        <f>ROUND(IF(CZ11&lt;0,+CZ15/CZ38,+CZ15/CZ39),2)</f>
        <v>-0.87</v>
      </c>
      <c r="DA19" s="221">
        <f>ROUND(IF(DA11&lt;0,+DA15/DA38,+DA15/DA39),3)</f>
        <v>-1.361</v>
      </c>
      <c r="DB19" s="221">
        <f>ROUND(IF(DB11&lt;0,+DB15/DB38,+DB15/DB39),3)</f>
        <v>-1.361</v>
      </c>
      <c r="DD19" s="221">
        <f>+BD19</f>
        <v>-0.61155777435927205</v>
      </c>
      <c r="DE19" s="221">
        <f>ROUND(IF(DE11&lt;0,+DE15/DE38,+DE15/DE39),2)</f>
        <v>-1.21</v>
      </c>
      <c r="DF19" s="221">
        <f>ROUND(IF(DF11&lt;0,+DF15/DF38,+DF15/DF39),2)</f>
        <v>-1.77</v>
      </c>
      <c r="DG19" s="221">
        <f>ROUND(IF(DG11&lt;0,+DG15/DG38,+DG15/DG39),3)</f>
        <v>-1.8380000000000001</v>
      </c>
      <c r="DH19" s="221">
        <f>ROUND(IF(DH11&lt;0,+DH15/DH38,+DH15/DH39),3)</f>
        <v>-1.8380000000000001</v>
      </c>
      <c r="DJ19" s="221">
        <f>+BJ19</f>
        <v>-0.04</v>
      </c>
      <c r="DK19" s="221">
        <f>ROUND(IF(DK11&lt;0,+DK15/DK38,+DK15/DK39),2)</f>
        <v>0.23</v>
      </c>
      <c r="DL19" s="221">
        <f>ROUND(IF(DL11&lt;0,+DL15/DL38,+DL15/DL39),2)</f>
        <v>13.9</v>
      </c>
      <c r="DM19" s="221">
        <f>ROUND(IF(DM11&lt;0,+DM15/DM38,+DM15/DM39),2)</f>
        <v>13.71</v>
      </c>
      <c r="DN19" s="221">
        <f>ROUND(IF(DN11&lt;0,+DN15/DN38,+DN15/DN39),2)</f>
        <v>13.71</v>
      </c>
      <c r="DP19" s="221">
        <f>+BP19</f>
        <v>-0.02</v>
      </c>
      <c r="DQ19" s="221">
        <f>ROUND(IF(DQ11&lt;0,+DQ15/DQ38,+DQ15/DQ39),2)</f>
        <v>-0.06</v>
      </c>
      <c r="DR19" s="221">
        <f>ROUND(IF(DR11&lt;0,+DR15/DR38,+DR15/DR39),2)</f>
        <v>0.23</v>
      </c>
      <c r="DS19" s="221">
        <f>ROUND(IF(DS11&lt;0,+DS15/DS38,+DS15/DS39),2)</f>
        <v>0.3</v>
      </c>
      <c r="DT19" s="221">
        <f>ROUND(IF(DT11&lt;0,+DT15/DT38,+DT15/DT39),2)</f>
        <v>0.3</v>
      </c>
    </row>
    <row r="20" spans="1:124" ht="12.5" customHeight="1" x14ac:dyDescent="0.25">
      <c r="C20" s="104"/>
      <c r="D20" s="104"/>
      <c r="E20" s="104"/>
      <c r="F20" s="104"/>
      <c r="G20" s="104"/>
      <c r="I20" s="104"/>
      <c r="J20" s="104"/>
      <c r="K20" s="104"/>
      <c r="L20" s="104"/>
      <c r="M20" s="104"/>
      <c r="O20" s="191">
        <f t="shared" si="0"/>
        <v>14</v>
      </c>
      <c r="X20" s="167"/>
      <c r="Z20" s="104"/>
      <c r="AA20" s="104"/>
      <c r="AB20" s="104"/>
      <c r="AC20" s="104"/>
      <c r="AD20" s="104"/>
      <c r="AF20" s="104"/>
      <c r="AG20" s="104"/>
      <c r="AH20" s="104"/>
      <c r="AI20" s="104"/>
      <c r="AJ20" s="104"/>
      <c r="AL20" s="104"/>
      <c r="AM20" s="104"/>
      <c r="AN20" s="104"/>
      <c r="AO20" s="104"/>
      <c r="AP20" s="104"/>
      <c r="AR20" s="104"/>
      <c r="AS20" s="104"/>
      <c r="AT20" s="104"/>
      <c r="AU20" s="104"/>
      <c r="AV20" s="104"/>
      <c r="AX20" s="104"/>
      <c r="AY20" s="104"/>
      <c r="AZ20" s="104"/>
      <c r="BA20" s="104"/>
      <c r="BB20" s="104"/>
      <c r="BD20" s="104"/>
      <c r="BE20" s="104"/>
      <c r="BF20" s="104"/>
      <c r="BG20" s="104"/>
      <c r="BH20" s="104"/>
      <c r="BJ20" s="104"/>
      <c r="BK20" s="104"/>
      <c r="BL20" s="104"/>
      <c r="BM20" s="104"/>
      <c r="BN20" s="104"/>
      <c r="BP20" s="104"/>
      <c r="BQ20" s="104"/>
      <c r="BR20" s="104"/>
      <c r="BS20" s="104"/>
      <c r="BT20" s="104"/>
      <c r="BX20" s="167"/>
      <c r="BZ20" s="104"/>
      <c r="CA20" s="104"/>
      <c r="CB20" s="104"/>
      <c r="CC20" s="104"/>
      <c r="CD20" s="104"/>
      <c r="CF20" s="104"/>
      <c r="CG20" s="104"/>
      <c r="CH20" s="104"/>
      <c r="CI20" s="104"/>
      <c r="CJ20" s="104"/>
      <c r="CL20" s="104"/>
      <c r="CM20" s="104"/>
      <c r="CN20" s="104"/>
      <c r="CO20" s="104"/>
      <c r="CP20" s="104"/>
      <c r="CR20" s="104"/>
      <c r="CS20" s="104"/>
      <c r="CT20" s="104"/>
      <c r="CU20" s="104"/>
      <c r="CV20" s="104"/>
      <c r="CX20" s="104"/>
      <c r="CY20" s="104"/>
      <c r="CZ20" s="104"/>
      <c r="DA20" s="104"/>
      <c r="DB20" s="104"/>
      <c r="DD20" s="104"/>
      <c r="DE20" s="104"/>
      <c r="DF20" s="104"/>
      <c r="DG20" s="104"/>
      <c r="DH20" s="104"/>
      <c r="DJ20" s="104"/>
      <c r="DK20" s="104"/>
      <c r="DL20" s="104"/>
      <c r="DM20" s="104"/>
      <c r="DN20" s="104"/>
      <c r="DP20" s="104"/>
      <c r="DQ20" s="104"/>
      <c r="DR20" s="104"/>
      <c r="DS20" s="104"/>
      <c r="DT20" s="104"/>
    </row>
    <row r="21" spans="1:124" ht="12.5" customHeight="1" x14ac:dyDescent="0.25">
      <c r="A21" s="22" t="s">
        <v>273</v>
      </c>
      <c r="O21" s="191">
        <f t="shared" si="0"/>
        <v>15</v>
      </c>
      <c r="X21" s="167"/>
      <c r="BX21" s="167"/>
    </row>
    <row r="22" spans="1:124" ht="15.75" customHeight="1" x14ac:dyDescent="0.25">
      <c r="A22" s="201" t="s">
        <v>276</v>
      </c>
      <c r="C22" s="72">
        <f t="shared" ref="C22:C27" si="1">HLOOKUP(C$7,$X$7:$BX$49,$O22,FALSE)</f>
        <v>3686000</v>
      </c>
      <c r="E22" s="72">
        <f t="shared" ref="E22:E27" si="2">HLOOKUP(E$7,$X$7:$BX$49,$O22,FALSE)</f>
        <v>1181000</v>
      </c>
      <c r="G22" s="72">
        <f t="shared" ref="G22:G27" si="3">HLOOKUP(G$7,$X$7:$BX$49,$O22,FALSE)</f>
        <v>4209000</v>
      </c>
      <c r="I22" s="72">
        <f t="shared" ref="I22:I27" si="4">HLOOKUP(I$7,$BX$7:$DU$39,$O22,FALSE)</f>
        <v>11280000</v>
      </c>
      <c r="K22" s="72">
        <f t="shared" ref="K22:K27" si="5">HLOOKUP(K$7,$BX$7:$DU$39,$O22,FALSE)</f>
        <v>5688000</v>
      </c>
      <c r="M22" s="72">
        <f t="shared" ref="M22:M27" si="6">HLOOKUP(M$7,$BX$7:$DU$39,$O22,FALSE)</f>
        <v>13489000</v>
      </c>
      <c r="O22" s="191">
        <f t="shared" si="0"/>
        <v>16</v>
      </c>
      <c r="X22" s="172"/>
      <c r="Z22" s="72">
        <f>SUMIF('1.Input NG Expense'!$AD$12:$AD$20,"Purchased Intangible Amort",'1.Input NG Expense'!AH$12:AH$21)</f>
        <v>3846000</v>
      </c>
      <c r="AA22" s="72">
        <f>SUMIF('1.Input NG Expense'!$AD$12:$AD$20,"Purchased Intangible Amort",'1.Input NG Expense'!AI$12:AI$21)</f>
        <v>3748000</v>
      </c>
      <c r="AB22" s="72">
        <f>SUMIF('1.Input NG Expense'!$AD$12:$AD$20,"Purchased Intangible Amort",'1.Input NG Expense'!AJ$12:AJ$21)</f>
        <v>3686000</v>
      </c>
      <c r="AC22" s="72">
        <f>SUMIF('1.Input NG Expense'!$AD$12:$AD$20,"Purchased Intangible Amort",'1.Input NG Expense'!AK$12:AK$21)</f>
        <v>0</v>
      </c>
      <c r="AD22" s="72">
        <f t="shared" ref="AD22:AD27" si="7">SUM(Z22:AC22)</f>
        <v>11280000</v>
      </c>
      <c r="AF22" s="72">
        <f>SUMIF('1.Input NG Expense'!$AD$12:$AD$20,"Purchased Intangible Amort",'1.Input NG Expense'!AN$12:AN$21)</f>
        <v>3290000</v>
      </c>
      <c r="AG22" s="72">
        <f>SUMIF('1.Input NG Expense'!$AD$12:$AD$20,"Purchased Intangible Amort",'1.Input NG Expense'!AO$12:AO$21)</f>
        <v>1217000</v>
      </c>
      <c r="AH22" s="72">
        <f>SUMIF('1.Input NG Expense'!$AD$12:$AD$20,"Purchased Intangible Amort",'1.Input NG Expense'!AP$12:AP$21)</f>
        <v>1181000</v>
      </c>
      <c r="AI22" s="72">
        <f>SUMIF('1.Input NG Expense'!$AD$12:$AD$20,"Purchased Intangible Amort",'1.Input NG Expense'!AQ$12:AQ$21)</f>
        <v>3097000</v>
      </c>
      <c r="AJ22" s="72">
        <f t="shared" ref="AJ22:AJ27" si="8">SUM(AF22:AI22)</f>
        <v>8785000</v>
      </c>
      <c r="AL22" s="72">
        <f>SUMIF('1.Input NG Expense'!$AD$12:$AD$20,"Purchased Intangible Amort",'1.Input NG Expense'!AT$12:AT$21)</f>
        <v>4643000</v>
      </c>
      <c r="AM22" s="72">
        <f>SUMIF('1.Input NG Expense'!$AD$12:$AD$20,"Purchased Intangible Amort",'1.Input NG Expense'!AU$12:AU$21)</f>
        <v>4637000</v>
      </c>
      <c r="AN22" s="72">
        <f>SUMIF('1.Input NG Expense'!$AD$12:$AD$20,"Purchased Intangible Amort",'1.Input NG Expense'!AV$12:AV$21)</f>
        <v>4209000</v>
      </c>
      <c r="AO22" s="72">
        <f>SUMIF('1.Input NG Expense'!$AD$12:$AD$20,"Purchased Intangible Amort",'1.Input NG Expense'!AW$12:AW$21)</f>
        <v>3336000</v>
      </c>
      <c r="AP22" s="72">
        <f t="shared" ref="AP22:AP27" si="9">SUM(AL22:AO22)</f>
        <v>16825000</v>
      </c>
      <c r="AR22" s="72">
        <f>SUMIF('1.Input NG Expense'!$AD$12:$AD$20,"Purchased Intangible Amort",'1.Input NG Expense'!AZ$12:AZ$21)</f>
        <v>4645000</v>
      </c>
      <c r="AS22" s="72">
        <f>SUMIF('1.Input NG Expense'!$AD$12:$AD$20,"Purchased Intangible Amort",'1.Input NG Expense'!BA$12:BA$21)</f>
        <v>4612000</v>
      </c>
      <c r="AT22" s="72">
        <f>SUMIF('1.Input NG Expense'!$AD$12:$AD$20,"Purchased Intangible Amort",'1.Input NG Expense'!BB$12:BB$21)</f>
        <v>4647000</v>
      </c>
      <c r="AU22" s="72">
        <f>SUMIF('1.Input NG Expense'!$AD$12:$AD$20,"Purchased Intangible Amort",'1.Input NG Expense'!BC$12:BC$21)</f>
        <v>4807000</v>
      </c>
      <c r="AV22" s="72">
        <f t="shared" ref="AV22:AV27" si="10">SUM(AR22:AU22)</f>
        <v>18711000</v>
      </c>
      <c r="AX22" s="72">
        <f>SUMIF('1.Input NG Expense'!$AD$12:$AD$20,"Purchased Intangible Amort",'1.Input NG Expense'!BF$12:BF$21)</f>
        <v>5306000</v>
      </c>
      <c r="AY22" s="72">
        <f>SUMIF('1.Input NG Expense'!$AD$12:$AD$20,"Purchased Intangible Amort",'1.Input NG Expense'!BG$12:BG$21)</f>
        <v>4350000</v>
      </c>
      <c r="AZ22" s="72">
        <f>SUMIF('1.Input NG Expense'!$AD$12:$AD$20,"Purchased Intangible Amort",'1.Input NG Expense'!BH$12:BH$21)</f>
        <v>4213000</v>
      </c>
      <c r="BA22" s="72">
        <f>SUMIF('1.Input NG Expense'!$AD$12:$AD$20,"Purchased Intangible Amort",'1.Input NG Expense'!BI$12:BI$21)</f>
        <v>4177000</v>
      </c>
      <c r="BB22" s="72">
        <f t="shared" ref="BB22:BB27" si="11">SUM(AX22:BA22)</f>
        <v>18046000</v>
      </c>
      <c r="BD22" s="72">
        <f>SUMIF('1.Input NG Expense'!$AD$12:$AD$20,"Purchased Intangible Amort",'1.Input NG Expense'!BL$12:BL$21)</f>
        <v>3123000</v>
      </c>
      <c r="BE22" s="72">
        <f>SUMIF('1.Input NG Expense'!$AD$12:$AD$20,"Purchased Intangible Amort",'1.Input NG Expense'!BM$12:BM$21)</f>
        <v>5369000</v>
      </c>
      <c r="BF22" s="72">
        <f>SUMIF('1.Input NG Expense'!$AD$12:$AD$20,"Purchased Intangible Amort",'1.Input NG Expense'!BN$12:BN$21)</f>
        <v>5369000</v>
      </c>
      <c r="BG22" s="72">
        <f>SUMIF('1.Input NG Expense'!$AD$12:$AD$20,"Purchased Intangible Amort",'1.Input NG Expense'!BO$12:BO$21)</f>
        <v>5181000</v>
      </c>
      <c r="BH22" s="72">
        <f>SUM(BD22:BG22)</f>
        <v>19042000</v>
      </c>
      <c r="BJ22" s="72">
        <v>5970000</v>
      </c>
      <c r="BK22" s="72">
        <v>3548000</v>
      </c>
      <c r="BL22" s="72">
        <v>3359000</v>
      </c>
      <c r="BM22" s="72">
        <v>2981000</v>
      </c>
      <c r="BN22" s="72">
        <f>SUM(BJ22:BM22)</f>
        <v>15858000</v>
      </c>
      <c r="BP22" s="72">
        <v>5959000</v>
      </c>
      <c r="BQ22" s="72">
        <v>6015000</v>
      </c>
      <c r="BR22" s="72">
        <v>5965000</v>
      </c>
      <c r="BS22" s="72">
        <v>5956000</v>
      </c>
      <c r="BT22" s="72">
        <v>23895000</v>
      </c>
      <c r="BX22" s="167"/>
      <c r="BZ22" s="72">
        <f t="shared" ref="BZ22:BZ27" si="12">+Z22</f>
        <v>3846000</v>
      </c>
      <c r="CA22" s="72">
        <f>SUM($Z22:AA22)</f>
        <v>7594000</v>
      </c>
      <c r="CB22" s="72">
        <f>SUM($Z22:AB22)</f>
        <v>11280000</v>
      </c>
      <c r="CC22" s="72">
        <f>SUM($Z22:AC22)</f>
        <v>11280000</v>
      </c>
      <c r="CD22" s="72">
        <f t="shared" ref="CD22:CD27" si="13">+CC22</f>
        <v>11280000</v>
      </c>
      <c r="CF22" s="72">
        <f t="shared" ref="CF22:CF27" si="14">+AF22</f>
        <v>3290000</v>
      </c>
      <c r="CG22" s="72">
        <f>SUM($AF22:AG22)</f>
        <v>4507000</v>
      </c>
      <c r="CH22" s="72">
        <f>SUM($AF22:AH22)</f>
        <v>5688000</v>
      </c>
      <c r="CI22" s="72">
        <f>SUM($AF22:AI22)</f>
        <v>8785000</v>
      </c>
      <c r="CJ22" s="72">
        <f t="shared" ref="CJ22:CJ27" si="15">+CI22</f>
        <v>8785000</v>
      </c>
      <c r="CL22" s="72">
        <f t="shared" ref="CL22:CL27" si="16">+AL22</f>
        <v>4643000</v>
      </c>
      <c r="CM22" s="72">
        <f>SUM($AL22:AM22)</f>
        <v>9280000</v>
      </c>
      <c r="CN22" s="72">
        <f>SUM($AL22:AN22)</f>
        <v>13489000</v>
      </c>
      <c r="CO22" s="72">
        <f>SUM($AL22:AO22)</f>
        <v>16825000</v>
      </c>
      <c r="CP22" s="72">
        <f t="shared" ref="CP22:CP27" si="17">+CO22</f>
        <v>16825000</v>
      </c>
      <c r="CR22" s="72">
        <f t="shared" ref="CR22:CR27" si="18">+AR22</f>
        <v>4645000</v>
      </c>
      <c r="CS22" s="72">
        <f>SUM($AR22:AS22)</f>
        <v>9257000</v>
      </c>
      <c r="CT22" s="72">
        <f>SUM($AR22:AT22)</f>
        <v>13904000</v>
      </c>
      <c r="CU22" s="72">
        <f>SUM($AR22:AU22)</f>
        <v>18711000</v>
      </c>
      <c r="CV22" s="72">
        <f t="shared" ref="CV22:CV27" si="19">+CU22</f>
        <v>18711000</v>
      </c>
      <c r="CX22" s="72">
        <f t="shared" ref="CX22:CX27" si="20">+AX22</f>
        <v>5306000</v>
      </c>
      <c r="CY22" s="72">
        <f>SUM($AX22:AY22)</f>
        <v>9656000</v>
      </c>
      <c r="CZ22" s="72">
        <f>SUM($AX22:AZ22)</f>
        <v>13869000</v>
      </c>
      <c r="DA22" s="72">
        <f>SUM($AX22:BA22)</f>
        <v>18046000</v>
      </c>
      <c r="DB22" s="72">
        <f t="shared" ref="DB22:DB27" si="21">+BB22</f>
        <v>18046000</v>
      </c>
      <c r="DD22" s="72">
        <f>+BD22</f>
        <v>3123000</v>
      </c>
      <c r="DE22" s="72">
        <f>SUM($BD22:BE22)</f>
        <v>8492000</v>
      </c>
      <c r="DF22" s="72">
        <f>SUM($BD22:BF22)</f>
        <v>13861000</v>
      </c>
      <c r="DG22" s="72">
        <f>SUM($BD22:BG22)</f>
        <v>19042000</v>
      </c>
      <c r="DH22" s="72">
        <f>+BH22</f>
        <v>19042000</v>
      </c>
      <c r="DJ22" s="72">
        <f>+BJ22</f>
        <v>5970000</v>
      </c>
      <c r="DK22" s="72">
        <f>SUM($BJ22:BK22)</f>
        <v>9518000</v>
      </c>
      <c r="DL22" s="72">
        <f>SUM($BJ22:BL22)</f>
        <v>12877000</v>
      </c>
      <c r="DM22" s="72">
        <f>SUM($BJ22:BM22)</f>
        <v>15858000</v>
      </c>
      <c r="DN22" s="72">
        <f>+BN22</f>
        <v>15858000</v>
      </c>
      <c r="DP22" s="72">
        <f>+BP22</f>
        <v>5959000</v>
      </c>
      <c r="DQ22" s="72">
        <f>SUM($BP22:BQ22)</f>
        <v>11974000</v>
      </c>
      <c r="DR22" s="72">
        <f>SUM($BP22:BR22)</f>
        <v>17939000</v>
      </c>
      <c r="DS22" s="72">
        <f>SUM($BP22:BS22)</f>
        <v>23895000</v>
      </c>
      <c r="DT22" s="72">
        <f>+BT22</f>
        <v>23895000</v>
      </c>
    </row>
    <row r="23" spans="1:124" ht="23.25" customHeight="1" x14ac:dyDescent="0.25">
      <c r="A23" s="201" t="s">
        <v>308</v>
      </c>
      <c r="C23" s="72">
        <f t="shared" si="1"/>
        <v>26760000</v>
      </c>
      <c r="E23" s="72">
        <f t="shared" si="2"/>
        <v>17497000</v>
      </c>
      <c r="G23" s="72">
        <f t="shared" si="3"/>
        <v>29624000</v>
      </c>
      <c r="I23" s="72">
        <f t="shared" si="4"/>
        <v>83813000</v>
      </c>
      <c r="K23" s="72">
        <f t="shared" si="5"/>
        <v>46524000</v>
      </c>
      <c r="M23" s="72">
        <f t="shared" si="6"/>
        <v>81142000</v>
      </c>
      <c r="O23" s="191">
        <f t="shared" si="0"/>
        <v>17</v>
      </c>
      <c r="X23" s="172"/>
      <c r="Z23" s="72">
        <v>27985000</v>
      </c>
      <c r="AA23" s="72">
        <f>SUMIF('1.Input NG Expense'!$AD$12:$AD$20,"SBC",'1.Input NG Expense'!AI$12:AI$21)</f>
        <v>29068000</v>
      </c>
      <c r="AB23" s="72">
        <f>SUMIF('1.Input NG Expense'!$AD$12:$AD$20,"SBC",'1.Input NG Expense'!AJ$12:AJ$21)</f>
        <v>26760000</v>
      </c>
      <c r="AC23" s="72">
        <f>SUMIF('1.Input NG Expense'!$AD$12:$AD$20,"SBC",'1.Input NG Expense'!AK$12:AK$21)</f>
        <v>0</v>
      </c>
      <c r="AD23" s="72">
        <f t="shared" si="7"/>
        <v>83813000</v>
      </c>
      <c r="AF23" s="72">
        <f>SUMIF('1.Input NG Expense'!$AD$12:$AD$20,"SBC",'1.Input NG Expense'!AN$12:AN$21)</f>
        <v>13292000</v>
      </c>
      <c r="AG23" s="72">
        <f>SUMIF('1.Input NG Expense'!$AD$12:$AD$20,"SBC",'1.Input NG Expense'!AO$12:AO$21)</f>
        <v>15735000</v>
      </c>
      <c r="AH23" s="72">
        <f>SUMIF('1.Input NG Expense'!$AD$12:$AD$20,"SBC",'1.Input NG Expense'!AP$12:AP$21)</f>
        <v>17497000</v>
      </c>
      <c r="AI23" s="72">
        <f>SUMIF('1.Input NG Expense'!$AD$12:$AD$20,"SBC",'1.Input NG Expense'!AQ$12:AQ$21)</f>
        <v>24780000</v>
      </c>
      <c r="AJ23" s="72">
        <f t="shared" si="8"/>
        <v>71304000</v>
      </c>
      <c r="AL23" s="72">
        <f>SUMIF('1.Input NG Expense'!$AD$12:$AD$20,"SBC",'1.Input NG Expense'!AT$12:AT$21)</f>
        <v>24225000</v>
      </c>
      <c r="AM23" s="72">
        <f>SUMIF('1.Input NG Expense'!$AD$12:$AD$20,"SBC",'1.Input NG Expense'!AU$12:AU$21)</f>
        <v>27293000</v>
      </c>
      <c r="AN23" s="72">
        <f>SUMIF('1.Input NG Expense'!$AD$12:$AD$20,"SBC",'1.Input NG Expense'!AV$12:AV$21)</f>
        <v>29624000</v>
      </c>
      <c r="AO23" s="72">
        <f>SUMIF('1.Input NG Expense'!$AD$12:$AD$20,"SBC",'1.Input NG Expense'!AW$12:AW$21)</f>
        <v>44658000</v>
      </c>
      <c r="AP23" s="72">
        <f t="shared" si="9"/>
        <v>125800000</v>
      </c>
      <c r="AR23" s="72">
        <f>SUMIF('1.Input NG Expense'!$AD$12:$AD$20,"SBC",'1.Input NG Expense'!AZ$12:AZ$21)</f>
        <v>18496000</v>
      </c>
      <c r="AS23" s="72">
        <f>SUMIF('1.Input NG Expense'!$AD$12:$AD$20,"SBC",'1.Input NG Expense'!BA$12:BA$21)</f>
        <v>19221000</v>
      </c>
      <c r="AT23" s="72">
        <f>SUMIF('1.Input NG Expense'!$AD$12:$AD$20,"SBC",'1.Input NG Expense'!BB$12:BB$21)</f>
        <v>23758000</v>
      </c>
      <c r="AU23" s="72">
        <f>SUMIF('1.Input NG Expense'!$AD$12:$AD$20,"SBC",'1.Input NG Expense'!BC$12:BC$21)</f>
        <v>25782000</v>
      </c>
      <c r="AV23" s="72">
        <f t="shared" si="10"/>
        <v>87257000</v>
      </c>
      <c r="AX23" s="72">
        <f>SUMIF('1.Input NG Expense'!$AD$12:$AD$20,"SBC",'1.Input NG Expense'!BF$12:BF$21)</f>
        <v>16485000</v>
      </c>
      <c r="AY23" s="72">
        <f>SUMIF('1.Input NG Expense'!$AD$12:$AD$20,"SBC",'1.Input NG Expense'!BG$12:BG$21)</f>
        <v>24204000</v>
      </c>
      <c r="AZ23" s="72">
        <f>SUMIF('1.Input NG Expense'!$AD$12:$AD$20,"SBC",'1.Input NG Expense'!BH$12:BH$21)</f>
        <v>23894000</v>
      </c>
      <c r="BA23" s="72">
        <f>SUMIF('1.Input NG Expense'!$AD$12:$AD$20,"SBC",'1.Input NG Expense'!BI$12:BI$21)</f>
        <v>47124000</v>
      </c>
      <c r="BB23" s="72">
        <f t="shared" si="11"/>
        <v>111707000</v>
      </c>
      <c r="BD23" s="72">
        <f>SUMIF('1.Input NG Expense'!$AD$12:$AD$20,"SBC",'1.Input NG Expense'!BL$12:BL$21)</f>
        <v>18630000</v>
      </c>
      <c r="BE23" s="72">
        <f>SUMIF('1.Input NG Expense'!$AD$12:$AD$20,"SBC",'1.Input NG Expense'!BM$12:BM$21)</f>
        <v>23354000</v>
      </c>
      <c r="BF23" s="72">
        <f>SUMIF('1.Input NG Expense'!$AD$12:$AD$20,"SBC",'1.Input NG Expense'!BN$12:BN$21)</f>
        <v>30295000</v>
      </c>
      <c r="BG23" s="72">
        <f>SUMIF('1.Input NG Expense'!$AD$12:$AD$20,"SBC",'1.Input NG Expense'!BO$12:BO$21)</f>
        <v>17168000</v>
      </c>
      <c r="BH23" s="72">
        <f>SUM(BD23:BG23)</f>
        <v>89447000</v>
      </c>
      <c r="BJ23" s="72">
        <v>17798000</v>
      </c>
      <c r="BK23" s="72">
        <v>17667000</v>
      </c>
      <c r="BL23" s="72">
        <v>26082000</v>
      </c>
      <c r="BM23" s="72">
        <v>41175000</v>
      </c>
      <c r="BN23" s="72">
        <f>SUM(BJ23:BM23)</f>
        <v>102722000</v>
      </c>
      <c r="BP23" s="72">
        <v>12400000</v>
      </c>
      <c r="BQ23" s="72">
        <v>13154000</v>
      </c>
      <c r="BR23" s="72">
        <v>13290000</v>
      </c>
      <c r="BS23" s="72">
        <v>14023000</v>
      </c>
      <c r="BT23" s="72">
        <v>52867000</v>
      </c>
      <c r="BX23" s="167"/>
      <c r="BZ23" s="72">
        <f t="shared" si="12"/>
        <v>27985000</v>
      </c>
      <c r="CA23" s="72">
        <f>SUM($Z23:AA23)</f>
        <v>57053000</v>
      </c>
      <c r="CB23" s="72">
        <f>SUM($Z23:AB23)</f>
        <v>83813000</v>
      </c>
      <c r="CC23" s="72">
        <f>SUM($Z23:AC23)</f>
        <v>83813000</v>
      </c>
      <c r="CD23" s="72">
        <f t="shared" si="13"/>
        <v>83813000</v>
      </c>
      <c r="CF23" s="72">
        <f t="shared" si="14"/>
        <v>13292000</v>
      </c>
      <c r="CG23" s="72">
        <f>SUM($AF23:AG23)</f>
        <v>29027000</v>
      </c>
      <c r="CH23" s="72">
        <f>SUM($AF23:AH23)</f>
        <v>46524000</v>
      </c>
      <c r="CI23" s="72">
        <f>SUM($AF23:AI23)</f>
        <v>71304000</v>
      </c>
      <c r="CJ23" s="72">
        <f t="shared" si="15"/>
        <v>71304000</v>
      </c>
      <c r="CL23" s="72">
        <f t="shared" si="16"/>
        <v>24225000</v>
      </c>
      <c r="CM23" s="72">
        <f>SUM($AL23:AM23)</f>
        <v>51518000</v>
      </c>
      <c r="CN23" s="72">
        <f>SUM($AL23:AN23)</f>
        <v>81142000</v>
      </c>
      <c r="CO23" s="72">
        <f>SUM($AL23:AO23)</f>
        <v>125800000</v>
      </c>
      <c r="CP23" s="72">
        <f t="shared" si="17"/>
        <v>125800000</v>
      </c>
      <c r="CR23" s="72">
        <f t="shared" si="18"/>
        <v>18496000</v>
      </c>
      <c r="CS23" s="72">
        <f>SUM($AR23:AS23)</f>
        <v>37717000</v>
      </c>
      <c r="CT23" s="72">
        <f>SUM($AR23:AT23)</f>
        <v>61475000</v>
      </c>
      <c r="CU23" s="72">
        <f>SUM($AR23:AU23)</f>
        <v>87257000</v>
      </c>
      <c r="CV23" s="72">
        <f t="shared" si="19"/>
        <v>87257000</v>
      </c>
      <c r="CX23" s="72">
        <f t="shared" si="20"/>
        <v>16485000</v>
      </c>
      <c r="CY23" s="72">
        <f>SUM($AX23:AY23)</f>
        <v>40689000</v>
      </c>
      <c r="CZ23" s="72">
        <f>SUM($AX23:AZ23)</f>
        <v>64583000</v>
      </c>
      <c r="DA23" s="72">
        <f>SUM($AX23:BA23)</f>
        <v>111707000</v>
      </c>
      <c r="DB23" s="72">
        <f t="shared" si="21"/>
        <v>111707000</v>
      </c>
      <c r="DD23" s="72">
        <f>+BD23</f>
        <v>18630000</v>
      </c>
      <c r="DE23" s="72">
        <f>SUM($BD23:BE23)</f>
        <v>41984000</v>
      </c>
      <c r="DF23" s="72">
        <f>SUM($BD23:BF23)</f>
        <v>72279000</v>
      </c>
      <c r="DG23" s="72">
        <f>SUM($BD23:BG23)</f>
        <v>89447000</v>
      </c>
      <c r="DH23" s="72">
        <f>+BH23</f>
        <v>89447000</v>
      </c>
      <c r="DJ23" s="72">
        <f>+BJ23</f>
        <v>17798000</v>
      </c>
      <c r="DK23" s="72">
        <f>SUM($BJ23:BK23)</f>
        <v>35465000</v>
      </c>
      <c r="DL23" s="72">
        <f>SUM($BJ23:BL23)</f>
        <v>61547000</v>
      </c>
      <c r="DM23" s="72">
        <f>SUM($BJ23:BM23)</f>
        <v>102722000</v>
      </c>
      <c r="DN23" s="72">
        <f>+BN23</f>
        <v>102722000</v>
      </c>
      <c r="DP23" s="72">
        <f>+BP23</f>
        <v>12400000</v>
      </c>
      <c r="DQ23" s="72">
        <f>SUM($BP23:BQ23)</f>
        <v>25554000</v>
      </c>
      <c r="DR23" s="72">
        <f>SUM($BP23:BR23)</f>
        <v>38844000</v>
      </c>
      <c r="DS23" s="72">
        <f>SUM($BP23:BS23)</f>
        <v>52867000</v>
      </c>
      <c r="DT23" s="72">
        <f>+BT23</f>
        <v>52867000</v>
      </c>
    </row>
    <row r="24" spans="1:124" ht="23.25" customHeight="1" x14ac:dyDescent="0.25">
      <c r="A24" s="201" t="s">
        <v>309</v>
      </c>
      <c r="C24" s="72">
        <f t="shared" si="1"/>
        <v>0</v>
      </c>
      <c r="E24" s="72">
        <f t="shared" si="2"/>
        <v>0</v>
      </c>
      <c r="G24" s="72">
        <f t="shared" si="3"/>
        <v>0</v>
      </c>
      <c r="I24" s="72">
        <f t="shared" si="4"/>
        <v>0</v>
      </c>
      <c r="K24" s="72">
        <f t="shared" si="5"/>
        <v>0</v>
      </c>
      <c r="M24" s="72">
        <f t="shared" si="6"/>
        <v>0</v>
      </c>
      <c r="O24" s="191">
        <f t="shared" si="0"/>
        <v>18</v>
      </c>
      <c r="X24" s="172"/>
      <c r="Z24" s="72">
        <f>SUMIF('1.Input NG Expense'!$AD$12:$AD$20,"Accel Amort",'1.Input NG Expense'!AH$12:AH$21)</f>
        <v>0</v>
      </c>
      <c r="AA24" s="72">
        <f>SUMIF('1.Input NG Expense'!$AD$12:$AD$20,"Accel Amort",'1.Input NG Expense'!AI$12:AI$21)</f>
        <v>0</v>
      </c>
      <c r="AB24" s="72">
        <f>SUMIF('1.Input NG Expense'!$AD$12:$AD$20,"Accel Amort",'1.Input NG Expense'!AJ$12:AJ$21)</f>
        <v>0</v>
      </c>
      <c r="AC24" s="72">
        <f>SUMIF('1.Input NG Expense'!$AD$12:$AD$20,"Accel Amort",'1.Input NG Expense'!AK$12:AK$21)</f>
        <v>0</v>
      </c>
      <c r="AD24" s="72">
        <f t="shared" si="7"/>
        <v>0</v>
      </c>
      <c r="AF24" s="72">
        <f>SUMIF('1.Input NG Expense'!$AD$12:$AD$20,"Accel Amort",'1.Input NG Expense'!AN$12:AN$21)</f>
        <v>0</v>
      </c>
      <c r="AG24" s="72">
        <f>SUMIF('1.Input NG Expense'!$AD$12:$AD$20,"Accel Amort",'1.Input NG Expense'!AO$12:AO$21)</f>
        <v>0</v>
      </c>
      <c r="AH24" s="72">
        <f>SUMIF('1.Input NG Expense'!$AD$12:$AD$20,"Accel Amort",'1.Input NG Expense'!AP$12:AP$21)</f>
        <v>0</v>
      </c>
      <c r="AI24" s="72">
        <f>SUMIF('1.Input NG Expense'!$AD$12:$AD$20,"Accel Amort",'1.Input NG Expense'!AQ$12:AQ$21)</f>
        <v>0</v>
      </c>
      <c r="AJ24" s="72">
        <f t="shared" si="8"/>
        <v>0</v>
      </c>
      <c r="AL24" s="72">
        <f>SUMIF('1.Input NG Expense'!$AD$12:$AD$20,"Accel Amort",'1.Input NG Expense'!AT$12:AT$21)</f>
        <v>0</v>
      </c>
      <c r="AM24" s="72">
        <f>SUMIF('1.Input NG Expense'!$AD$12:$AD$20,"Accel Amort",'1.Input NG Expense'!AU$12:AU$21)</f>
        <v>0</v>
      </c>
      <c r="AN24" s="72">
        <f>SUMIF('1.Input NG Expense'!$AD$12:$AD$20,"Accel Amort",'1.Input NG Expense'!AV$12:AV$21)</f>
        <v>0</v>
      </c>
      <c r="AO24" s="72">
        <f>SUMIF('1.Input NG Expense'!$AD$12:$AD$20,"Accel Amort",'1.Input NG Expense'!AW$12:AW$21)</f>
        <v>0</v>
      </c>
      <c r="AP24" s="72">
        <f t="shared" si="9"/>
        <v>0</v>
      </c>
      <c r="AR24" s="72">
        <f>SUMIF('1.Input NG Expense'!$AD$12:$AD$20,"Accel Amort",'1.Input NG Expense'!AZ$12:AZ$21)</f>
        <v>0</v>
      </c>
      <c r="AS24" s="72">
        <f>SUMIF('1.Input NG Expense'!$AD$12:$AD$20,"Accel Amort",'1.Input NG Expense'!BA$12:BA$21)</f>
        <v>0</v>
      </c>
      <c r="AT24" s="72">
        <f>SUMIF('1.Input NG Expense'!$AD$12:$AD$20,"Accel Amort",'1.Input NG Expense'!BB$12:BB$21)</f>
        <v>0</v>
      </c>
      <c r="AU24" s="72">
        <f>SUMIF('1.Input NG Expense'!$AD$12:$AD$20,"Accel Amort",'1.Input NG Expense'!BC$12:BC$21)</f>
        <v>0</v>
      </c>
      <c r="AV24" s="72">
        <f t="shared" si="10"/>
        <v>0</v>
      </c>
      <c r="AX24" s="72">
        <f>SUMIF('1.Input NG Expense'!$AD$12:$AD$20,"Accel Amort",'1.Input NG Expense'!BF$12:BF$21)</f>
        <v>0</v>
      </c>
      <c r="AY24" s="72">
        <f>SUMIF('1.Input NG Expense'!$AD$12:$AD$20,"Accel Amort",'1.Input NG Expense'!BG$12:BG$21)</f>
        <v>0</v>
      </c>
      <c r="AZ24" s="72">
        <f>SUMIF('1.Input NG Expense'!$AD$12:$AD$20,"Accel Amort",'1.Input NG Expense'!BH$12:BH$21)</f>
        <v>0</v>
      </c>
      <c r="BA24" s="72">
        <f>SUMIF('1.Input NG Expense'!$AD$12:$AD$20,"Accel Amort",'1.Input NG Expense'!BI$12:BI$21)</f>
        <v>0</v>
      </c>
      <c r="BB24" s="72">
        <f t="shared" si="11"/>
        <v>0</v>
      </c>
      <c r="BD24" s="72">
        <f>SUMIF('1.Input NG Expense'!$AD$12:$AD$20,"Accel Amort",'1.Input NG Expense'!BL$12:BL$21)</f>
        <v>1906000</v>
      </c>
      <c r="BE24" s="72">
        <f>SUMIF('1.Input NG Expense'!$AD$12:$AD$20,"Accel Amort",'1.Input NG Expense'!BM$12:BM$21)</f>
        <v>1663000</v>
      </c>
      <c r="BF24" s="72">
        <f>SUMIF('1.Input NG Expense'!$AD$12:$AD$20,"Accel Amort",'1.Input NG Expense'!BN$12:BN$21)</f>
        <v>0</v>
      </c>
      <c r="BG24" s="72">
        <f>SUMIF('1.Input NG Expense'!$AD$12:$AD$20,"Accel Amort",'1.Input NG Expense'!BO$12:BO$21)</f>
        <v>0</v>
      </c>
      <c r="BH24" s="72">
        <f>SUM(BD24:BG24)</f>
        <v>3569000</v>
      </c>
      <c r="BJ24" s="223">
        <v>0</v>
      </c>
      <c r="BK24" s="72">
        <v>0</v>
      </c>
      <c r="BL24" s="72">
        <v>1959000</v>
      </c>
      <c r="BM24" s="72">
        <v>1853000</v>
      </c>
      <c r="BN24" s="72">
        <f>SUM(BJ24:BM24)</f>
        <v>3812000</v>
      </c>
      <c r="BP24" s="223">
        <v>0</v>
      </c>
      <c r="BQ24" s="223">
        <v>0</v>
      </c>
      <c r="BR24" s="223">
        <v>0</v>
      </c>
      <c r="BS24" s="223">
        <v>0</v>
      </c>
      <c r="BT24" s="223">
        <v>0</v>
      </c>
      <c r="BX24" s="167"/>
      <c r="BZ24" s="72">
        <f t="shared" si="12"/>
        <v>0</v>
      </c>
      <c r="CA24" s="72">
        <f>SUM($Z24:AA24)</f>
        <v>0</v>
      </c>
      <c r="CB24" s="72">
        <f>SUM($Z24:AB24)</f>
        <v>0</v>
      </c>
      <c r="CC24" s="72">
        <f>SUM($Z24:AC24)</f>
        <v>0</v>
      </c>
      <c r="CD24" s="72">
        <f t="shared" si="13"/>
        <v>0</v>
      </c>
      <c r="CF24" s="72">
        <f t="shared" si="14"/>
        <v>0</v>
      </c>
      <c r="CG24" s="72">
        <f>SUM($AF24:AG24)</f>
        <v>0</v>
      </c>
      <c r="CH24" s="72">
        <f>SUM($AF24:AH24)</f>
        <v>0</v>
      </c>
      <c r="CI24" s="72">
        <f>SUM($AF24:AI24)</f>
        <v>0</v>
      </c>
      <c r="CJ24" s="72">
        <f t="shared" si="15"/>
        <v>0</v>
      </c>
      <c r="CL24" s="72">
        <f t="shared" si="16"/>
        <v>0</v>
      </c>
      <c r="CM24" s="72">
        <f>SUM($AL24:AM24)</f>
        <v>0</v>
      </c>
      <c r="CN24" s="72">
        <f>SUM($AL24:AN24)</f>
        <v>0</v>
      </c>
      <c r="CO24" s="72">
        <f>SUM($AL24:AO24)</f>
        <v>0</v>
      </c>
      <c r="CP24" s="72">
        <f t="shared" si="17"/>
        <v>0</v>
      </c>
      <c r="CR24" s="72">
        <f t="shared" si="18"/>
        <v>0</v>
      </c>
      <c r="CS24" s="72">
        <f>SUM($AR24:AS24)</f>
        <v>0</v>
      </c>
      <c r="CT24" s="72">
        <f>SUM($AR24:AT24)</f>
        <v>0</v>
      </c>
      <c r="CU24" s="72">
        <f>SUM($AR24:AU24)</f>
        <v>0</v>
      </c>
      <c r="CV24" s="72">
        <f t="shared" si="19"/>
        <v>0</v>
      </c>
      <c r="CX24" s="72">
        <f t="shared" si="20"/>
        <v>0</v>
      </c>
      <c r="CY24" s="72">
        <f>SUM($AX24:AY24)</f>
        <v>0</v>
      </c>
      <c r="CZ24" s="72">
        <f>SUM($AX24:AZ24)</f>
        <v>0</v>
      </c>
      <c r="DA24" s="72">
        <f>SUM($AX24:BA24)</f>
        <v>0</v>
      </c>
      <c r="DB24" s="72">
        <f t="shared" si="21"/>
        <v>0</v>
      </c>
      <c r="DD24" s="72">
        <f>+BD24</f>
        <v>1906000</v>
      </c>
      <c r="DE24" s="72">
        <f>SUM($BD24:BE24)</f>
        <v>3569000</v>
      </c>
      <c r="DF24" s="72">
        <f>SUM($BD24:BF24)</f>
        <v>3569000</v>
      </c>
      <c r="DG24" s="72">
        <f>SUM($BD24:BG24)</f>
        <v>3569000</v>
      </c>
      <c r="DH24" s="72">
        <f>+BH24</f>
        <v>3569000</v>
      </c>
      <c r="DJ24" s="72">
        <f>+BJ24</f>
        <v>0</v>
      </c>
      <c r="DK24" s="72">
        <f>SUM($BJ24:BK24)</f>
        <v>0</v>
      </c>
      <c r="DL24" s="72">
        <f>SUM($BJ24:BL24)</f>
        <v>1959000</v>
      </c>
      <c r="DM24" s="72">
        <f>SUM($BJ24:BM24)</f>
        <v>3812000</v>
      </c>
      <c r="DN24" s="72">
        <f>+BN24</f>
        <v>3812000</v>
      </c>
      <c r="DP24" s="72">
        <f>+BP24</f>
        <v>0</v>
      </c>
      <c r="DQ24" s="72">
        <f>SUM($BP24:BQ24)</f>
        <v>0</v>
      </c>
      <c r="DR24" s="72">
        <f>SUM($BP24:BR24)</f>
        <v>0</v>
      </c>
      <c r="DS24" s="72">
        <f>SUM($BP24:BS24)</f>
        <v>0</v>
      </c>
      <c r="DT24" s="72">
        <f>+BT24</f>
        <v>0</v>
      </c>
    </row>
    <row r="25" spans="1:124" ht="23.25" customHeight="1" x14ac:dyDescent="0.25">
      <c r="A25" s="201" t="s">
        <v>310</v>
      </c>
      <c r="C25" s="72">
        <f t="shared" si="1"/>
        <v>149000</v>
      </c>
      <c r="E25" s="72">
        <f t="shared" si="2"/>
        <v>2502000</v>
      </c>
      <c r="G25" s="72">
        <f t="shared" si="3"/>
        <v>11743000</v>
      </c>
      <c r="I25" s="72">
        <f t="shared" si="4"/>
        <v>752000</v>
      </c>
      <c r="K25" s="72">
        <f t="shared" si="5"/>
        <v>9192000</v>
      </c>
      <c r="M25" s="72">
        <f t="shared" si="6"/>
        <v>25593000</v>
      </c>
      <c r="O25" s="191">
        <f t="shared" si="0"/>
        <v>19</v>
      </c>
      <c r="X25" s="172"/>
      <c r="Z25" s="72">
        <f>SUMIF('1.Input NG Expense'!$AD$12:$AD$20,"Restructuring",'1.Input NG Expense'!AH$12:AH$21)</f>
        <v>206000</v>
      </c>
      <c r="AA25" s="72">
        <f>SUMIF('1.Input NG Expense'!$AD$12:$AD$20,"Restructuring",'1.Input NG Expense'!AI$12:AI$21)</f>
        <v>397000</v>
      </c>
      <c r="AB25" s="72">
        <f>SUMIF('1.Input NG Expense'!$AD$12:$AD$20,"Restructuring",'1.Input NG Expense'!AJ$12:AJ$21)</f>
        <v>149000</v>
      </c>
      <c r="AC25" s="72">
        <f>SUMIF('1.Input NG Expense'!$AD$12:$AD$20,"Restructuring",'1.Input NG Expense'!AK$12:AK$21)</f>
        <v>0</v>
      </c>
      <c r="AD25" s="72">
        <f t="shared" si="7"/>
        <v>752000</v>
      </c>
      <c r="AF25" s="72">
        <f>SUMIF('1.Input NG Expense'!$AD$12:$AD$20,"Restructuring",'1.Input NG Expense'!AN$12:AN$21)</f>
        <v>116000</v>
      </c>
      <c r="AG25" s="72">
        <f>SUMIF('1.Input NG Expense'!$AD$12:$AD$20,"Restructuring",'1.Input NG Expense'!AO$12:AO$21)</f>
        <v>6574000</v>
      </c>
      <c r="AH25" s="72">
        <f>SUMIF('1.Input NG Expense'!$AD$12:$AD$20,"Restructuring",'1.Input NG Expense'!AP$12:AP$21)</f>
        <v>2502000</v>
      </c>
      <c r="AI25" s="72">
        <f>SUMIF('1.Input NG Expense'!$AD$12:$AD$20,"Restructuring",'1.Input NG Expense'!AQ$12:AQ$21)</f>
        <v>2516000</v>
      </c>
      <c r="AJ25" s="72">
        <f t="shared" si="8"/>
        <v>11708000</v>
      </c>
      <c r="AL25" s="72">
        <f>SUMIF('1.Input NG Expense'!$AD$12:$AD$20,"Restructuring",'1.Input NG Expense'!AT$12:AT$21)</f>
        <v>739000</v>
      </c>
      <c r="AM25" s="72">
        <f>SUMIF('1.Input NG Expense'!$AD$12:$AD$20,"Restructuring",'1.Input NG Expense'!AU$12:AU$21)</f>
        <v>13111000</v>
      </c>
      <c r="AN25" s="72">
        <f>SUMIF('1.Input NG Expense'!$AD$12:$AD$20,"Restructuring",'1.Input NG Expense'!AV$12:AV$21)</f>
        <v>11743000</v>
      </c>
      <c r="AO25" s="72">
        <f>SUMIF('1.Input NG Expense'!$AD$12:$AD$20,"Restructuring",'1.Input NG Expense'!AW$12:AW$21)</f>
        <v>9723000</v>
      </c>
      <c r="AP25" s="72">
        <f t="shared" si="9"/>
        <v>35316000</v>
      </c>
      <c r="AR25" s="72">
        <f>SUMIF('1.Input NG Expense'!$AD$12:$AD$20,"Restructuring",'1.Input NG Expense'!AZ$12:AZ$21)</f>
        <v>1278000</v>
      </c>
      <c r="AS25" s="72">
        <f>SUMIF('1.Input NG Expense'!$AD$12:$AD$20,"Restructuring",'1.Input NG Expense'!BA$12:BA$21)</f>
        <v>18000</v>
      </c>
      <c r="AT25" s="72">
        <f>SUMIF('1.Input NG Expense'!$AD$12:$AD$20,"Restructuring",'1.Input NG Expense'!BB$12:BB$21)</f>
        <v>0</v>
      </c>
      <c r="AU25" s="72">
        <f>SUMIF('1.Input NG Expense'!$AD$12:$AD$20,"Restructuring",'1.Input NG Expense'!BC$12:BC$21)</f>
        <v>183000</v>
      </c>
      <c r="AV25" s="72">
        <f t="shared" si="10"/>
        <v>1479000</v>
      </c>
      <c r="AX25" s="72">
        <f>SUMIF('1.Input NG Expense'!$AD$12:$AD$20,"Restructuring",'1.Input NG Expense'!BF$12:BF$21)</f>
        <v>1995000</v>
      </c>
      <c r="AY25" s="72">
        <f>SUMIF('1.Input NG Expense'!$AD$12:$AD$20,"Restructuring",'1.Input NG Expense'!BG$12:BG$21)</f>
        <v>-619000</v>
      </c>
      <c r="AZ25" s="72">
        <f>SUMIF('1.Input NG Expense'!$AD$12:$AD$20,"Restructuring",'1.Input NG Expense'!BH$12:BH$21)</f>
        <v>-6000</v>
      </c>
      <c r="BA25" s="72">
        <f>SUMIF('1.Input NG Expense'!$AD$12:$AD$20,"Restructuring",'1.Input NG Expense'!BI$12:BI$21)</f>
        <v>1345000</v>
      </c>
      <c r="BB25" s="72">
        <f t="shared" si="11"/>
        <v>2715000</v>
      </c>
      <c r="BD25" s="72">
        <f>SUMIF('1.Input NG Expense'!$AD$12:$AD$20,"Restructuring",'1.Input NG Expense'!BL$12:BL$21)</f>
        <v>2276000</v>
      </c>
      <c r="BE25" s="72">
        <f>SUMIF('1.Input NG Expense'!$AD$12:$AD$20,"Restructuring",'1.Input NG Expense'!BM$12:BM$21)</f>
        <v>45000</v>
      </c>
      <c r="BF25" s="72">
        <f>SUMIF('1.Input NG Expense'!$AD$12:$AD$20,"Restructuring",'1.Input NG Expense'!BN$12:BN$21)</f>
        <v>233000</v>
      </c>
      <c r="BG25" s="72">
        <f>SUMIF('1.Input NG Expense'!$AD$12:$AD$20,"Restructuring",'1.Input NG Expense'!BO$12:BO$21)</f>
        <v>2447000</v>
      </c>
      <c r="BH25" s="72">
        <f>SUM(BD25:BG25)</f>
        <v>5001000</v>
      </c>
      <c r="BJ25" s="223">
        <v>1000</v>
      </c>
      <c r="BK25" s="72">
        <v>489000</v>
      </c>
      <c r="BL25" s="223">
        <v>5043000</v>
      </c>
      <c r="BM25" s="72">
        <v>14400000</v>
      </c>
      <c r="BN25" s="72">
        <f>SUM(BJ25:BM25)</f>
        <v>19933000</v>
      </c>
      <c r="BP25" s="223">
        <v>-3000</v>
      </c>
      <c r="BQ25" s="223">
        <v>2833000</v>
      </c>
      <c r="BR25" s="223">
        <v>-788000</v>
      </c>
      <c r="BS25" s="223">
        <v>681000</v>
      </c>
      <c r="BT25" s="223">
        <v>2723000</v>
      </c>
      <c r="BX25" s="167"/>
      <c r="BZ25" s="72">
        <f t="shared" si="12"/>
        <v>206000</v>
      </c>
      <c r="CA25" s="72">
        <f>SUM($Z25:AA25)</f>
        <v>603000</v>
      </c>
      <c r="CB25" s="72">
        <f>SUM($Z25:AB25)</f>
        <v>752000</v>
      </c>
      <c r="CC25" s="72">
        <f>SUM($Z25:AC25)</f>
        <v>752000</v>
      </c>
      <c r="CD25" s="72">
        <f t="shared" si="13"/>
        <v>752000</v>
      </c>
      <c r="CF25" s="72">
        <f t="shared" si="14"/>
        <v>116000</v>
      </c>
      <c r="CG25" s="72">
        <f>SUM($AF25:AG25)</f>
        <v>6690000</v>
      </c>
      <c r="CH25" s="72">
        <f>SUM($AF25:AH25)</f>
        <v>9192000</v>
      </c>
      <c r="CI25" s="72">
        <f>SUM($AF25:AI25)</f>
        <v>11708000</v>
      </c>
      <c r="CJ25" s="72">
        <f t="shared" si="15"/>
        <v>11708000</v>
      </c>
      <c r="CL25" s="72">
        <f t="shared" si="16"/>
        <v>739000</v>
      </c>
      <c r="CM25" s="72">
        <f>SUM($AL25:AM25)</f>
        <v>13850000</v>
      </c>
      <c r="CN25" s="72">
        <f>SUM($AL25:AN25)</f>
        <v>25593000</v>
      </c>
      <c r="CO25" s="72">
        <f>SUM($AL25:AO25)</f>
        <v>35316000</v>
      </c>
      <c r="CP25" s="72">
        <f t="shared" si="17"/>
        <v>35316000</v>
      </c>
      <c r="CR25" s="72">
        <f t="shared" si="18"/>
        <v>1278000</v>
      </c>
      <c r="CS25" s="72">
        <f>SUM($AR25:AS25)</f>
        <v>1296000</v>
      </c>
      <c r="CT25" s="72">
        <f>SUM($AR25:AT25)</f>
        <v>1296000</v>
      </c>
      <c r="CU25" s="72">
        <f>SUM($AR25:AU25)</f>
        <v>1479000</v>
      </c>
      <c r="CV25" s="72">
        <f t="shared" si="19"/>
        <v>1479000</v>
      </c>
      <c r="CX25" s="72">
        <f t="shared" si="20"/>
        <v>1995000</v>
      </c>
      <c r="CY25" s="72">
        <f>SUM($AX25:AY25)</f>
        <v>1376000</v>
      </c>
      <c r="CZ25" s="72">
        <f>SUM($AX25:AZ25)</f>
        <v>1370000</v>
      </c>
      <c r="DA25" s="72">
        <f>SUM($AX25:BA25)</f>
        <v>2715000</v>
      </c>
      <c r="DB25" s="72">
        <f t="shared" si="21"/>
        <v>2715000</v>
      </c>
      <c r="DD25" s="72">
        <f>+BD25</f>
        <v>2276000</v>
      </c>
      <c r="DE25" s="72">
        <f>SUM($BD25:BE25)</f>
        <v>2321000</v>
      </c>
      <c r="DF25" s="72">
        <f>SUM($BD25:BF25)</f>
        <v>2554000</v>
      </c>
      <c r="DG25" s="72">
        <f>SUM($BD25:BG25)</f>
        <v>5001000</v>
      </c>
      <c r="DH25" s="72">
        <f>+BH25</f>
        <v>5001000</v>
      </c>
      <c r="DJ25" s="72">
        <f>+BJ25</f>
        <v>1000</v>
      </c>
      <c r="DK25" s="72">
        <f>SUM($BJ25:BK25)</f>
        <v>490000</v>
      </c>
      <c r="DL25" s="72">
        <f>SUM($BJ25:BL25)</f>
        <v>5533000</v>
      </c>
      <c r="DM25" s="72">
        <f>SUM($BJ25:BM25)</f>
        <v>19933000</v>
      </c>
      <c r="DN25" s="72">
        <f>+BN25</f>
        <v>19933000</v>
      </c>
      <c r="DP25" s="72">
        <f>+BP25</f>
        <v>-3000</v>
      </c>
      <c r="DQ25" s="72">
        <f>SUM($BP25:BQ25)</f>
        <v>2830000</v>
      </c>
      <c r="DR25" s="72">
        <f>SUM($BP25:BR25)</f>
        <v>2042000</v>
      </c>
      <c r="DS25" s="72">
        <f>SUM($BP25:BS25)</f>
        <v>2723000</v>
      </c>
      <c r="DT25" s="72">
        <f>+BT25</f>
        <v>2723000</v>
      </c>
    </row>
    <row r="26" spans="1:124" ht="15.75" customHeight="1" x14ac:dyDescent="0.25">
      <c r="A26" s="201" t="s">
        <v>288</v>
      </c>
      <c r="C26" s="72">
        <f t="shared" si="1"/>
        <v>0</v>
      </c>
      <c r="E26" s="72">
        <f t="shared" si="2"/>
        <v>0</v>
      </c>
      <c r="G26" s="72">
        <f t="shared" si="3"/>
        <v>4112000</v>
      </c>
      <c r="I26" s="72">
        <f t="shared" si="4"/>
        <v>0</v>
      </c>
      <c r="K26" s="72">
        <f t="shared" si="5"/>
        <v>1875000</v>
      </c>
      <c r="M26" s="72">
        <f t="shared" si="6"/>
        <v>5362000</v>
      </c>
      <c r="O26" s="191">
        <f t="shared" si="0"/>
        <v>20</v>
      </c>
      <c r="X26" s="172"/>
      <c r="Z26" s="72">
        <f>+'1.Input NG Expense'!AH20</f>
        <v>0</v>
      </c>
      <c r="AA26" s="72">
        <f>+'1.Input NG Expense'!AI20</f>
        <v>0</v>
      </c>
      <c r="AB26" s="72">
        <f>+'1.Input NG Expense'!AJ20</f>
        <v>0</v>
      </c>
      <c r="AC26" s="72">
        <f>+'1.Input NG Expense'!AK20</f>
        <v>0</v>
      </c>
      <c r="AD26" s="72">
        <f t="shared" si="7"/>
        <v>0</v>
      </c>
      <c r="AF26" s="72">
        <f>+'1.Input NG Expense'!AN20</f>
        <v>1875000</v>
      </c>
      <c r="AG26" s="72">
        <f>+'1.Input NG Expense'!AO20</f>
        <v>0</v>
      </c>
      <c r="AH26" s="72">
        <f>+'1.Input NG Expense'!AP20</f>
        <v>0</v>
      </c>
      <c r="AI26" s="72">
        <f>+'1.Input NG Expense'!AQ20</f>
        <v>0</v>
      </c>
      <c r="AJ26" s="72">
        <f t="shared" si="8"/>
        <v>1875000</v>
      </c>
      <c r="AL26" s="72">
        <f>+'1.Input NG Expense'!AT20</f>
        <v>0</v>
      </c>
      <c r="AM26" s="72">
        <f>+'1.Input NG Expense'!AU20</f>
        <v>1250000</v>
      </c>
      <c r="AN26" s="72">
        <f>+'1.Input NG Expense'!AV20</f>
        <v>4112000</v>
      </c>
      <c r="AO26" s="72">
        <f>+'1.Input NG Expense'!AW20</f>
        <v>3663000</v>
      </c>
      <c r="AP26" s="72">
        <f t="shared" si="9"/>
        <v>9025000</v>
      </c>
      <c r="AR26" s="72">
        <f>+'1.Input NG Expense'!AZ20</f>
        <v>0</v>
      </c>
      <c r="AS26" s="72">
        <f>+'1.Input NG Expense'!BA20</f>
        <v>0</v>
      </c>
      <c r="AT26" s="72">
        <f>+'1.Input NG Expense'!BB20</f>
        <v>0</v>
      </c>
      <c r="AU26" s="72">
        <f>+'1.Input NG Expense'!BC20</f>
        <v>0</v>
      </c>
      <c r="AV26" s="72">
        <f t="shared" si="10"/>
        <v>0</v>
      </c>
      <c r="AX26" s="72">
        <f>+'1.Input NG Expense'!BF20</f>
        <v>3605000</v>
      </c>
      <c r="AY26" s="72">
        <f>+'1.Input NG Expense'!BG20</f>
        <v>258000</v>
      </c>
      <c r="AZ26" s="72">
        <f>+'1.Input NG Expense'!BH20</f>
        <v>0</v>
      </c>
      <c r="BA26" s="72">
        <f>+'1.Input NG Expense'!BI20</f>
        <v>0</v>
      </c>
      <c r="BB26" s="72">
        <f t="shared" si="11"/>
        <v>3863000</v>
      </c>
      <c r="BD26" s="72">
        <f>+'1.Input NG Expense'!BL20</f>
        <v>0</v>
      </c>
      <c r="BE26" s="72">
        <f>+'1.Input NG Expense'!BM20</f>
        <v>0</v>
      </c>
      <c r="BF26" s="72">
        <f>+'1.Input NG Expense'!BN20</f>
        <v>0</v>
      </c>
      <c r="BG26" s="72">
        <f>+'1.Input NG Expense'!BO20</f>
        <v>0</v>
      </c>
      <c r="BH26" s="72">
        <f>SUM(BD26:BG26)</f>
        <v>0</v>
      </c>
      <c r="BJ26" s="72">
        <v>0</v>
      </c>
      <c r="BK26" s="72">
        <v>2122000</v>
      </c>
      <c r="BL26" s="72">
        <v>700000</v>
      </c>
      <c r="BM26" s="72">
        <v>-705000</v>
      </c>
      <c r="BN26" s="72">
        <f>SUM(BJ26:BM26)</f>
        <v>2117000</v>
      </c>
      <c r="BP26" s="72">
        <v>7119000</v>
      </c>
      <c r="BQ26" s="72">
        <v>5453000</v>
      </c>
      <c r="BR26" s="72">
        <v>5214000</v>
      </c>
      <c r="BS26" s="72">
        <v>0</v>
      </c>
      <c r="BT26" s="72">
        <v>17786000</v>
      </c>
      <c r="BX26" s="167"/>
      <c r="BZ26" s="72">
        <f t="shared" si="12"/>
        <v>0</v>
      </c>
      <c r="CA26" s="72">
        <f>SUM($Z26:AA26)</f>
        <v>0</v>
      </c>
      <c r="CB26" s="72">
        <f>SUM($Z26:AB26)</f>
        <v>0</v>
      </c>
      <c r="CC26" s="72">
        <f>SUM($Z26:AC26)</f>
        <v>0</v>
      </c>
      <c r="CD26" s="72">
        <f t="shared" si="13"/>
        <v>0</v>
      </c>
      <c r="CF26" s="72">
        <f t="shared" si="14"/>
        <v>1875000</v>
      </c>
      <c r="CG26" s="72">
        <f>SUM($AF26:AG26)</f>
        <v>1875000</v>
      </c>
      <c r="CH26" s="72">
        <f>SUM($AF26:AH26)</f>
        <v>1875000</v>
      </c>
      <c r="CI26" s="72">
        <f>SUM($AF26:AI26)</f>
        <v>1875000</v>
      </c>
      <c r="CJ26" s="72">
        <f t="shared" si="15"/>
        <v>1875000</v>
      </c>
      <c r="CL26" s="72">
        <f t="shared" si="16"/>
        <v>0</v>
      </c>
      <c r="CM26" s="72">
        <f>SUM($AL26:AM26)</f>
        <v>1250000</v>
      </c>
      <c r="CN26" s="72">
        <f>SUM($AL26:AN26)</f>
        <v>5362000</v>
      </c>
      <c r="CO26" s="72">
        <f>SUM($AL26:AO26)</f>
        <v>9025000</v>
      </c>
      <c r="CP26" s="72">
        <f t="shared" si="17"/>
        <v>9025000</v>
      </c>
      <c r="CR26" s="72">
        <f t="shared" si="18"/>
        <v>0</v>
      </c>
      <c r="CS26" s="72">
        <f>SUM($AR26:AS26)</f>
        <v>0</v>
      </c>
      <c r="CT26" s="72">
        <f>SUM($AR26:AT26)</f>
        <v>0</v>
      </c>
      <c r="CU26" s="72">
        <f>SUM($AR26:AU26)</f>
        <v>0</v>
      </c>
      <c r="CV26" s="72">
        <f t="shared" si="19"/>
        <v>0</v>
      </c>
      <c r="CX26" s="72">
        <f t="shared" si="20"/>
        <v>3605000</v>
      </c>
      <c r="CY26" s="72">
        <f>SUM($AX26:AY26)</f>
        <v>3863000</v>
      </c>
      <c r="CZ26" s="72">
        <f>SUM($AX26:AZ26)</f>
        <v>3863000</v>
      </c>
      <c r="DA26" s="72">
        <f>SUM($AX26:BA26)</f>
        <v>3863000</v>
      </c>
      <c r="DB26" s="72">
        <f t="shared" si="21"/>
        <v>3863000</v>
      </c>
      <c r="DD26" s="72">
        <f>+BD26</f>
        <v>0</v>
      </c>
      <c r="DE26" s="72">
        <f>SUM($BD26:BE26)</f>
        <v>0</v>
      </c>
      <c r="DF26" s="72">
        <f>SUM($BD26:BF26)</f>
        <v>0</v>
      </c>
      <c r="DG26" s="72">
        <f>SUM($BD26:BG26)</f>
        <v>0</v>
      </c>
      <c r="DH26" s="72">
        <f>+BH26</f>
        <v>0</v>
      </c>
      <c r="DJ26" s="72">
        <f>+BJ26</f>
        <v>0</v>
      </c>
      <c r="DK26" s="72">
        <f>SUM($BJ26:BK26)</f>
        <v>2122000</v>
      </c>
      <c r="DL26" s="72">
        <f>SUM($BJ26:BL26)</f>
        <v>2822000</v>
      </c>
      <c r="DM26" s="72">
        <f>SUM($BJ26:BM26)</f>
        <v>2117000</v>
      </c>
      <c r="DN26" s="72">
        <f>+BN26</f>
        <v>2117000</v>
      </c>
      <c r="DP26" s="72">
        <f>+BP26</f>
        <v>7119000</v>
      </c>
      <c r="DQ26" s="72">
        <f>SUM($BP26:BQ26)</f>
        <v>12572000</v>
      </c>
      <c r="DR26" s="72">
        <f>SUM($BP26:BR26)</f>
        <v>17786000</v>
      </c>
      <c r="DS26" s="72">
        <f>SUM($BP26:BS26)</f>
        <v>17786000</v>
      </c>
      <c r="DT26" s="72">
        <f>+BT26</f>
        <v>17786000</v>
      </c>
    </row>
    <row r="27" spans="1:124" ht="15.75" customHeight="1" x14ac:dyDescent="0.25">
      <c r="A27" s="201" t="s">
        <v>290</v>
      </c>
      <c r="C27" s="75">
        <f t="shared" si="1"/>
        <v>0</v>
      </c>
      <c r="E27" s="75">
        <f t="shared" si="2"/>
        <v>0</v>
      </c>
      <c r="G27" s="75">
        <f t="shared" si="3"/>
        <v>0</v>
      </c>
      <c r="I27" s="75">
        <f t="shared" si="4"/>
        <v>0</v>
      </c>
      <c r="K27" s="75">
        <f t="shared" si="5"/>
        <v>0</v>
      </c>
      <c r="M27" s="75">
        <f t="shared" si="6"/>
        <v>0</v>
      </c>
      <c r="O27" s="191">
        <f t="shared" si="0"/>
        <v>21</v>
      </c>
      <c r="X27" s="172"/>
      <c r="Z27" s="75">
        <f>+'1.Input NG Expense'!AH21</f>
        <v>0</v>
      </c>
      <c r="AA27" s="75">
        <f>+'1.Input NG Expense'!AI21</f>
        <v>0</v>
      </c>
      <c r="AB27" s="75">
        <f>+'1.Input NG Expense'!AJ21</f>
        <v>0</v>
      </c>
      <c r="AC27" s="75">
        <f>+'1.Input NG Expense'!AK21</f>
        <v>0</v>
      </c>
      <c r="AD27" s="75">
        <f t="shared" si="7"/>
        <v>0</v>
      </c>
      <c r="AF27" s="75">
        <f>+'1.Input NG Expense'!AN21</f>
        <v>0</v>
      </c>
      <c r="AG27" s="75">
        <f>+'1.Input NG Expense'!AO21</f>
        <v>0</v>
      </c>
      <c r="AH27" s="75">
        <f>+'1.Input NG Expense'!AP21</f>
        <v>0</v>
      </c>
      <c r="AI27" s="75">
        <f>+'1.Input NG Expense'!AQ21</f>
        <v>0</v>
      </c>
      <c r="AJ27" s="75">
        <f t="shared" si="8"/>
        <v>0</v>
      </c>
      <c r="AL27" s="75">
        <f>+'1.Input NG Expense'!AT21</f>
        <v>0</v>
      </c>
      <c r="AM27" s="75">
        <f>+'1.Input NG Expense'!AU21</f>
        <v>0</v>
      </c>
      <c r="AN27" s="75">
        <f>+'1.Input NG Expense'!AV21</f>
        <v>0</v>
      </c>
      <c r="AO27" s="75">
        <f>+'1.Input NG Expense'!AW21</f>
        <v>0</v>
      </c>
      <c r="AP27" s="75">
        <f t="shared" si="9"/>
        <v>0</v>
      </c>
      <c r="AR27" s="75">
        <f>+'1.Input NG Expense'!AZ21</f>
        <v>-30052000</v>
      </c>
      <c r="AS27" s="75">
        <f>+'1.Input NG Expense'!BA21</f>
        <v>0</v>
      </c>
      <c r="AT27" s="75">
        <f>+'1.Input NG Expense'!BB21</f>
        <v>-183000</v>
      </c>
      <c r="AU27" s="75">
        <f>+'1.Input NG Expense'!BC21</f>
        <v>0</v>
      </c>
      <c r="AV27" s="75">
        <f t="shared" si="10"/>
        <v>-30235000</v>
      </c>
      <c r="AX27" s="75">
        <f>+'1.Input NG Expense'!BF21</f>
        <v>0</v>
      </c>
      <c r="AY27" s="75">
        <f>+'1.Input NG Expense'!BG21</f>
        <v>0</v>
      </c>
      <c r="AZ27" s="75">
        <f>+'1.Input NG Expense'!BH21</f>
        <v>0</v>
      </c>
      <c r="BA27" s="75">
        <f>+'1.Input NG Expense'!BI21</f>
        <v>0</v>
      </c>
      <c r="BB27" s="75">
        <f t="shared" si="11"/>
        <v>0</v>
      </c>
      <c r="BD27" s="75">
        <f>+'1.Input NG Expense'!BL21</f>
        <v>0</v>
      </c>
      <c r="BE27" s="75">
        <f>+'1.Input NG Expense'!BM21</f>
        <v>0</v>
      </c>
      <c r="BF27" s="75">
        <f>+'1.Input NG Expense'!BN21</f>
        <v>0</v>
      </c>
      <c r="BG27" s="75">
        <f>+'1.Input NG Expense'!BO21</f>
        <v>0</v>
      </c>
      <c r="BX27" s="242"/>
      <c r="BZ27" s="75">
        <f t="shared" si="12"/>
        <v>0</v>
      </c>
      <c r="CA27" s="75">
        <f>SUM($Z27:AA27)</f>
        <v>0</v>
      </c>
      <c r="CB27" s="75">
        <f>SUM($Z27:AB27)</f>
        <v>0</v>
      </c>
      <c r="CC27" s="75">
        <f>SUM($Z27:AC27)</f>
        <v>0</v>
      </c>
      <c r="CD27" s="75">
        <f t="shared" si="13"/>
        <v>0</v>
      </c>
      <c r="CF27" s="75">
        <f t="shared" si="14"/>
        <v>0</v>
      </c>
      <c r="CG27" s="75">
        <f>SUM($AF27:AG27)</f>
        <v>0</v>
      </c>
      <c r="CH27" s="75">
        <f>SUM($AF27:AH27)</f>
        <v>0</v>
      </c>
      <c r="CI27" s="75">
        <f>SUM($AF27:AI27)</f>
        <v>0</v>
      </c>
      <c r="CJ27" s="75">
        <f t="shared" si="15"/>
        <v>0</v>
      </c>
      <c r="CL27" s="75">
        <f t="shared" si="16"/>
        <v>0</v>
      </c>
      <c r="CM27" s="75">
        <f>SUM($AL27:AM27)</f>
        <v>0</v>
      </c>
      <c r="CN27" s="75">
        <f>SUM($AL27:AN27)</f>
        <v>0</v>
      </c>
      <c r="CO27" s="75">
        <f>SUM($AL27:AO27)</f>
        <v>0</v>
      </c>
      <c r="CP27" s="75">
        <f t="shared" si="17"/>
        <v>0</v>
      </c>
      <c r="CR27" s="75">
        <f t="shared" si="18"/>
        <v>-30052000</v>
      </c>
      <c r="CS27" s="75">
        <f>SUM($AR27:AS27)</f>
        <v>-30052000</v>
      </c>
      <c r="CT27" s="75">
        <f>SUM($AR27:AT27)</f>
        <v>-30235000</v>
      </c>
      <c r="CU27" s="75">
        <f>SUM($AR27:AU27)</f>
        <v>-30235000</v>
      </c>
      <c r="CV27" s="75">
        <f t="shared" si="19"/>
        <v>-30235000</v>
      </c>
      <c r="CX27" s="75">
        <f t="shared" si="20"/>
        <v>0</v>
      </c>
      <c r="CY27" s="75">
        <f>SUM($AX27:AY27)</f>
        <v>0</v>
      </c>
      <c r="CZ27" s="75">
        <f>SUM($AX27:AZ27)</f>
        <v>0</v>
      </c>
      <c r="DA27" s="75">
        <f>SUM($AX27:BA27)</f>
        <v>0</v>
      </c>
      <c r="DB27" s="75">
        <f t="shared" si="21"/>
        <v>0</v>
      </c>
    </row>
    <row r="28" spans="1:124" ht="15.75" customHeight="1" x14ac:dyDescent="0.25">
      <c r="A28" s="22" t="s">
        <v>311</v>
      </c>
      <c r="C28" s="80">
        <f>SUM(C22:C27)</f>
        <v>30595000</v>
      </c>
      <c r="D28" s="176"/>
      <c r="E28" s="80">
        <f>SUM(E22:E27)</f>
        <v>21180000</v>
      </c>
      <c r="F28" s="176"/>
      <c r="G28" s="80">
        <f>SUM(G22:G27)</f>
        <v>49688000</v>
      </c>
      <c r="H28" s="163"/>
      <c r="I28" s="80">
        <f>SUM(I22:I27)</f>
        <v>95845000</v>
      </c>
      <c r="J28" s="176"/>
      <c r="K28" s="80">
        <f>SUM(K22:K27)</f>
        <v>63279000</v>
      </c>
      <c r="L28" s="176"/>
      <c r="M28" s="80">
        <f>SUM(M22:M27)</f>
        <v>125586000</v>
      </c>
      <c r="O28" s="191">
        <f t="shared" si="0"/>
        <v>22</v>
      </c>
      <c r="X28" s="172"/>
      <c r="Z28" s="80">
        <f>SUM(Z22:Z27)</f>
        <v>32037000</v>
      </c>
      <c r="AA28" s="80">
        <f>SUM(AA22:AA27)</f>
        <v>33213000</v>
      </c>
      <c r="AB28" s="80">
        <f>SUM(AB22:AB27)</f>
        <v>30595000</v>
      </c>
      <c r="AC28" s="80">
        <f>SUM(AC22:AC27)</f>
        <v>0</v>
      </c>
      <c r="AD28" s="80">
        <f>SUM(AD22:AD27)</f>
        <v>95845000</v>
      </c>
      <c r="AF28" s="80">
        <f>SUM(AF22:AF27)</f>
        <v>18573000</v>
      </c>
      <c r="AG28" s="80">
        <f>SUM(AG22:AG27)</f>
        <v>23526000</v>
      </c>
      <c r="AH28" s="80">
        <f>SUM(AH22:AH27)</f>
        <v>21180000</v>
      </c>
      <c r="AI28" s="80">
        <f>SUM(AI22:AI27)</f>
        <v>30393000</v>
      </c>
      <c r="AJ28" s="80">
        <f>SUM(AJ22:AJ27)</f>
        <v>93672000</v>
      </c>
      <c r="AL28" s="80">
        <f>SUM(AL22:AL27)</f>
        <v>29607000</v>
      </c>
      <c r="AM28" s="80">
        <f>SUM(AM22:AM27)</f>
        <v>46291000</v>
      </c>
      <c r="AN28" s="80">
        <f>SUM(AN22:AN27)</f>
        <v>49688000</v>
      </c>
      <c r="AO28" s="80">
        <f>SUM(AO22:AO27)</f>
        <v>61380000</v>
      </c>
      <c r="AP28" s="80">
        <f>SUM(AP22:AP27)</f>
        <v>186966000</v>
      </c>
      <c r="AR28" s="80">
        <f>SUM(AR22:AR27)</f>
        <v>-5633000</v>
      </c>
      <c r="AS28" s="80">
        <f>SUM(AS22:AS27)</f>
        <v>23851000</v>
      </c>
      <c r="AT28" s="80">
        <f>SUM(AT22:AT27)</f>
        <v>28222000</v>
      </c>
      <c r="AU28" s="80">
        <f>SUM(AU22:AU27)</f>
        <v>30772000</v>
      </c>
      <c r="AV28" s="80">
        <f>SUM(AV22:AV27)</f>
        <v>77212000</v>
      </c>
      <c r="AX28" s="80">
        <f>SUM(AX22:AX27)</f>
        <v>27391000</v>
      </c>
      <c r="AY28" s="80">
        <f>SUM(AY22:AY27)</f>
        <v>28193000</v>
      </c>
      <c r="AZ28" s="80">
        <f>SUM(AZ22:AZ27)</f>
        <v>28101000</v>
      </c>
      <c r="BA28" s="80">
        <f>SUM(BA22:BA27)</f>
        <v>52646000</v>
      </c>
      <c r="BB28" s="80">
        <f>SUM(BB22:BB27)</f>
        <v>136331000</v>
      </c>
      <c r="BD28" s="80">
        <f>SUM(BD22:BD27)</f>
        <v>25935000</v>
      </c>
      <c r="BE28" s="80">
        <f>SUM(BE22:BE27)</f>
        <v>30431000</v>
      </c>
      <c r="BF28" s="80">
        <f>SUM(BF22:BF27)</f>
        <v>35897000</v>
      </c>
      <c r="BG28" s="80">
        <f>SUM(BG22:BG27)</f>
        <v>24796000</v>
      </c>
      <c r="BH28" s="80">
        <f>SUM(BH22:BH27)</f>
        <v>117059000</v>
      </c>
      <c r="BJ28" s="80">
        <f>SUM(BJ22:BJ26)</f>
        <v>23769000</v>
      </c>
      <c r="BK28" s="80">
        <f>SUM(BK22:BK26)</f>
        <v>23826000</v>
      </c>
      <c r="BL28" s="80">
        <f>SUM(BL22:BL26)</f>
        <v>37143000</v>
      </c>
      <c r="BM28" s="80">
        <f>SUM(BM22:BM26)</f>
        <v>59704000</v>
      </c>
      <c r="BN28" s="80">
        <f>SUM(BN22:BN26)</f>
        <v>144442000</v>
      </c>
      <c r="BP28" s="80">
        <f>SUM(BP22:BP26)</f>
        <v>25475000</v>
      </c>
      <c r="BQ28" s="80">
        <f>SUM(BQ22:BQ26)</f>
        <v>27455000</v>
      </c>
      <c r="BR28" s="80">
        <f>SUM(BR22:BR26)</f>
        <v>23681000</v>
      </c>
      <c r="BS28" s="80">
        <f>SUM(BS22:BS26)</f>
        <v>20660000</v>
      </c>
      <c r="BT28" s="80">
        <f>SUM(BT22:BT26)</f>
        <v>97271000</v>
      </c>
      <c r="BX28" s="224">
        <f>SUM(BX22:BX27)</f>
        <v>0</v>
      </c>
      <c r="BZ28" s="80">
        <f>SUM(BZ22:BZ27)</f>
        <v>32037000</v>
      </c>
      <c r="CA28" s="80">
        <f>SUM(CA22:CA27)</f>
        <v>65250000</v>
      </c>
      <c r="CB28" s="80">
        <f>SUM(CB22:CB27)</f>
        <v>95845000</v>
      </c>
      <c r="CC28" s="80">
        <f>SUM(CC22:CC27)</f>
        <v>95845000</v>
      </c>
      <c r="CD28" s="80">
        <f>SUM(CD22:CD27)</f>
        <v>95845000</v>
      </c>
      <c r="CF28" s="80">
        <f>SUM(CF22:CF27)</f>
        <v>18573000</v>
      </c>
      <c r="CG28" s="80">
        <f>SUM(CG22:CG27)</f>
        <v>42099000</v>
      </c>
      <c r="CH28" s="80">
        <f>SUM(CH22:CH27)</f>
        <v>63279000</v>
      </c>
      <c r="CI28" s="80">
        <f>SUM(CI22:CI27)</f>
        <v>93672000</v>
      </c>
      <c r="CJ28" s="80">
        <f>SUM(CJ22:CJ27)</f>
        <v>93672000</v>
      </c>
      <c r="CL28" s="80">
        <f>SUM(CL22:CL27)</f>
        <v>29607000</v>
      </c>
      <c r="CM28" s="80">
        <f>SUM(CM22:CM27)</f>
        <v>75898000</v>
      </c>
      <c r="CN28" s="80">
        <f>SUM(CN22:CN27)</f>
        <v>125586000</v>
      </c>
      <c r="CO28" s="80">
        <f>SUM(CO22:CO27)</f>
        <v>186966000</v>
      </c>
      <c r="CP28" s="80">
        <f>SUM(CP22:CP27)</f>
        <v>186966000</v>
      </c>
      <c r="CR28" s="80">
        <f>SUM(CR22:CR27)</f>
        <v>-5633000</v>
      </c>
      <c r="CS28" s="80">
        <f>SUM(CS22:CS27)</f>
        <v>18218000</v>
      </c>
      <c r="CT28" s="80">
        <f>SUM(CT22:CT27)</f>
        <v>46440000</v>
      </c>
      <c r="CU28" s="80">
        <f>SUM(CU22:CU27)</f>
        <v>77212000</v>
      </c>
      <c r="CV28" s="80">
        <f>SUM(CV22:CV27)</f>
        <v>77212000</v>
      </c>
      <c r="CX28" s="80">
        <f>SUM(CX22:CX27)</f>
        <v>27391000</v>
      </c>
      <c r="CY28" s="80">
        <f>SUM(CY22:CY27)</f>
        <v>55584000</v>
      </c>
      <c r="CZ28" s="80">
        <f>SUM(CZ22:CZ27)</f>
        <v>83685000</v>
      </c>
      <c r="DA28" s="80">
        <f>SUM(DA22:DA27)</f>
        <v>136331000</v>
      </c>
      <c r="DB28" s="80">
        <f>SUM(DB22:DB27)</f>
        <v>136331000</v>
      </c>
      <c r="DD28" s="80">
        <f>SUM(DD22:DD27)</f>
        <v>25935000</v>
      </c>
      <c r="DE28" s="80">
        <f>SUM(DE22:DE27)</f>
        <v>56366000</v>
      </c>
      <c r="DF28" s="80">
        <f>SUM(DF22:DF27)</f>
        <v>92263000</v>
      </c>
      <c r="DG28" s="80">
        <f>SUM(DG22:DG27)</f>
        <v>117059000</v>
      </c>
      <c r="DH28" s="80">
        <f>SUM(DH22:DH27)</f>
        <v>117059000</v>
      </c>
      <c r="DJ28" s="80">
        <f>SUM(DJ22:DJ27)</f>
        <v>23769000</v>
      </c>
      <c r="DK28" s="80">
        <f>SUM(DK22:DK27)</f>
        <v>47595000</v>
      </c>
      <c r="DL28" s="80">
        <f>SUM(DL22:DL27)</f>
        <v>84738000</v>
      </c>
      <c r="DM28" s="80">
        <f>SUM(DM22:DM27)</f>
        <v>144442000</v>
      </c>
      <c r="DN28" s="80">
        <f>SUM(DN22:DN27)</f>
        <v>144442000</v>
      </c>
      <c r="DP28" s="80">
        <f>SUM(DP22:DP27)</f>
        <v>25475000</v>
      </c>
      <c r="DQ28" s="80">
        <f>SUM(DQ22:DQ27)</f>
        <v>52930000</v>
      </c>
      <c r="DR28" s="80">
        <f>SUM(DR22:DR27)</f>
        <v>76611000</v>
      </c>
      <c r="DS28" s="80">
        <f>SUM(DS22:DS27)</f>
        <v>97271000</v>
      </c>
      <c r="DT28" s="80">
        <f>SUM(DT22:DT27)</f>
        <v>97271000</v>
      </c>
    </row>
    <row r="29" spans="1:124" ht="15.75" customHeight="1" x14ac:dyDescent="0.25">
      <c r="C29" s="104"/>
      <c r="D29" s="104"/>
      <c r="E29" s="104"/>
      <c r="F29" s="104"/>
      <c r="G29" s="104"/>
      <c r="I29" s="104"/>
      <c r="J29" s="104"/>
      <c r="K29" s="104"/>
      <c r="L29" s="104"/>
      <c r="M29" s="104"/>
      <c r="O29" s="191">
        <f t="shared" si="0"/>
        <v>23</v>
      </c>
      <c r="X29" s="167"/>
      <c r="Z29" s="104"/>
      <c r="AA29" s="104"/>
      <c r="AB29" s="104"/>
      <c r="AC29" s="104"/>
      <c r="AD29" s="104"/>
      <c r="AF29" s="104"/>
      <c r="AG29" s="104"/>
      <c r="AH29" s="104"/>
      <c r="AI29" s="104"/>
      <c r="AJ29" s="104"/>
      <c r="AL29" s="104"/>
      <c r="AM29" s="104"/>
      <c r="AN29" s="104"/>
      <c r="AO29" s="104"/>
      <c r="AP29" s="104"/>
      <c r="AR29" s="104"/>
      <c r="AS29" s="104"/>
      <c r="AT29" s="104"/>
      <c r="AU29" s="104"/>
      <c r="AV29" s="104"/>
      <c r="AX29" s="104"/>
      <c r="AY29" s="104"/>
      <c r="AZ29" s="104"/>
      <c r="BA29" s="104"/>
      <c r="BB29" s="104"/>
      <c r="BD29" s="104"/>
      <c r="BE29" s="104"/>
      <c r="BF29" s="104"/>
      <c r="BG29" s="104"/>
      <c r="BH29" s="104"/>
      <c r="BJ29" s="104"/>
      <c r="BK29" s="104"/>
      <c r="BL29" s="104"/>
      <c r="BM29" s="104"/>
      <c r="BN29" s="104"/>
      <c r="BP29" s="104"/>
      <c r="BQ29" s="104"/>
      <c r="BR29" s="104"/>
      <c r="BS29" s="104"/>
      <c r="BT29" s="104"/>
      <c r="BX29" s="243"/>
      <c r="BZ29" s="104"/>
      <c r="CA29" s="104"/>
      <c r="CB29" s="104"/>
      <c r="CC29" s="104"/>
      <c r="CD29" s="104"/>
      <c r="CF29" s="104"/>
      <c r="CG29" s="104"/>
      <c r="CH29" s="104"/>
      <c r="CI29" s="104"/>
      <c r="CJ29" s="104"/>
      <c r="CL29" s="104"/>
      <c r="CM29" s="104"/>
      <c r="CN29" s="104"/>
      <c r="CO29" s="104"/>
      <c r="CP29" s="104"/>
      <c r="CR29" s="104"/>
      <c r="CS29" s="104"/>
      <c r="CT29" s="104"/>
      <c r="CU29" s="104"/>
      <c r="CV29" s="104"/>
      <c r="CX29" s="104"/>
      <c r="CY29" s="104"/>
      <c r="CZ29" s="104"/>
      <c r="DA29" s="104"/>
      <c r="DB29" s="104"/>
      <c r="DD29" s="104"/>
      <c r="DE29" s="104"/>
      <c r="DF29" s="104"/>
      <c r="DG29" s="104"/>
      <c r="DH29" s="104"/>
      <c r="DJ29" s="104"/>
      <c r="DK29" s="104"/>
      <c r="DL29" s="104"/>
      <c r="DM29" s="104"/>
      <c r="DN29" s="104"/>
      <c r="DP29" s="104"/>
      <c r="DQ29" s="104"/>
      <c r="DR29" s="104"/>
      <c r="DS29" s="104"/>
      <c r="DT29" s="104"/>
    </row>
    <row r="30" spans="1:124" ht="23.25" customHeight="1" x14ac:dyDescent="0.25">
      <c r="A30" s="130" t="s">
        <v>312</v>
      </c>
      <c r="C30" s="72">
        <f>+C9+C28</f>
        <v>49301000</v>
      </c>
      <c r="E30" s="72">
        <f>+E9+E28</f>
        <v>42988000</v>
      </c>
      <c r="G30" s="72">
        <f>+G9+G28</f>
        <v>25003000</v>
      </c>
      <c r="I30" s="72">
        <f>+I9+I28</f>
        <v>125431000</v>
      </c>
      <c r="K30" s="72">
        <f>+K9+K28</f>
        <v>106845000</v>
      </c>
      <c r="M30" s="72">
        <f>+M9+M28</f>
        <v>49124000</v>
      </c>
      <c r="O30" s="191">
        <f t="shared" si="0"/>
        <v>24</v>
      </c>
      <c r="P30" s="216" t="str">
        <f>IF(C30&gt;0,"income","loss")</f>
        <v>income</v>
      </c>
      <c r="Q30" s="216" t="str">
        <f>IF(E30&gt;0,"income","loss")</f>
        <v>income</v>
      </c>
      <c r="R30" s="216" t="str">
        <f>IF(G30&gt;0,"income","loss")</f>
        <v>income</v>
      </c>
      <c r="T30" s="216" t="str">
        <f>IF(I30&gt;0,"income","loss")</f>
        <v>income</v>
      </c>
      <c r="U30" s="216" t="str">
        <f>IF(K30&gt;0,"income","loss")</f>
        <v>income</v>
      </c>
      <c r="V30" s="216" t="str">
        <f>IF(M30&gt;0,"income","loss")</f>
        <v>income</v>
      </c>
      <c r="X30" s="172"/>
      <c r="Z30" s="72">
        <f>+Z9+Z28</f>
        <v>31233000</v>
      </c>
      <c r="AA30" s="72">
        <f>+AA9+AA28</f>
        <v>44897000</v>
      </c>
      <c r="AB30" s="72">
        <f>+AB9+AB28</f>
        <v>49301000</v>
      </c>
      <c r="AC30" s="72">
        <f>+AC9+AC28</f>
        <v>0</v>
      </c>
      <c r="AD30" s="72">
        <f>+AD9+AD28</f>
        <v>125431000</v>
      </c>
      <c r="AF30" s="72">
        <f>+AF9+AF28</f>
        <v>25692000</v>
      </c>
      <c r="AG30" s="72">
        <f>+AG9+AG28</f>
        <v>38165000</v>
      </c>
      <c r="AH30" s="72">
        <f>+AH9+AH28</f>
        <v>42988000</v>
      </c>
      <c r="AI30" s="72">
        <f>+AI9+AI28</f>
        <v>21188000</v>
      </c>
      <c r="AJ30" s="72">
        <f>+AJ9+AJ28</f>
        <v>128033000</v>
      </c>
      <c r="AL30" s="72">
        <f>+AL9+AL28</f>
        <v>4704000</v>
      </c>
      <c r="AM30" s="72">
        <f>+AM9+AM28</f>
        <v>19417000</v>
      </c>
      <c r="AN30" s="72">
        <f>+AN9+AN28</f>
        <v>25003000</v>
      </c>
      <c r="AO30" s="72">
        <f>+AO9+AO28</f>
        <v>18988000</v>
      </c>
      <c r="AP30" s="72">
        <f>+AP9+AP28</f>
        <v>68112000</v>
      </c>
      <c r="AR30" s="72">
        <f>+AR9+AR28</f>
        <v>7367000</v>
      </c>
      <c r="AS30" s="72">
        <f>+AS9+AS28</f>
        <v>17819000</v>
      </c>
      <c r="AT30" s="72">
        <f>+AT9+AT28</f>
        <v>14195000</v>
      </c>
      <c r="AU30" s="72">
        <f>+AU9+AU28</f>
        <v>2756000</v>
      </c>
      <c r="AV30" s="72">
        <f>+AV9+AV28</f>
        <v>42137000</v>
      </c>
      <c r="AX30" s="72">
        <f>+AX9+AX28</f>
        <v>1847000</v>
      </c>
      <c r="AY30" s="72">
        <f>+AY9+AY28</f>
        <v>1116000</v>
      </c>
      <c r="AZ30" s="72">
        <f>+AZ9+AZ28</f>
        <v>12234000</v>
      </c>
      <c r="BA30" s="72">
        <f>+BA9+BA28</f>
        <v>334000</v>
      </c>
      <c r="BB30" s="72">
        <f>+BB9+BB28</f>
        <v>15531000</v>
      </c>
      <c r="BD30" s="72">
        <f>+BD9+BD28</f>
        <v>-16558000</v>
      </c>
      <c r="BE30" s="72">
        <f>+BE9+BE28</f>
        <v>-15062000</v>
      </c>
      <c r="BF30" s="72">
        <f>+BF9+BF28</f>
        <v>-2430000</v>
      </c>
      <c r="BG30" s="72">
        <f>+BG9+BG28</f>
        <v>-14428000</v>
      </c>
      <c r="BH30" s="72">
        <f>+BH9+BH28</f>
        <v>-48478000</v>
      </c>
      <c r="BJ30" s="72">
        <f>+BJ9+BJ28</f>
        <v>-5477000</v>
      </c>
      <c r="BK30" s="72">
        <f>+BK9+BK28</f>
        <v>-14654000</v>
      </c>
      <c r="BL30" s="72">
        <f>+BL9+BL28</f>
        <v>-664000</v>
      </c>
      <c r="BM30" s="72">
        <f>+BM9+BM28</f>
        <v>-14119000</v>
      </c>
      <c r="BN30" s="72">
        <f>+BN9+BN28</f>
        <v>-34914000</v>
      </c>
      <c r="BP30" s="72">
        <f>+BP9+BP28</f>
        <v>-14924000</v>
      </c>
      <c r="BQ30" s="72">
        <f>+BQ9+BQ28</f>
        <v>-10415000</v>
      </c>
      <c r="BR30" s="72">
        <f>+BR9+BR28</f>
        <v>-3576000</v>
      </c>
      <c r="BS30" s="72">
        <f>+BS9+BS28</f>
        <v>-6836000</v>
      </c>
      <c r="BT30" s="72">
        <f>+BT9+BT28</f>
        <v>-35751000</v>
      </c>
      <c r="BX30" s="167"/>
      <c r="BZ30" s="72">
        <f>+BZ9+BZ28</f>
        <v>31233000</v>
      </c>
      <c r="CA30" s="72">
        <f>+CA9+CA28</f>
        <v>76130000</v>
      </c>
      <c r="CB30" s="72">
        <f>+CB9+CB28</f>
        <v>125431000</v>
      </c>
      <c r="CC30" s="72">
        <f>+CC9+CC28</f>
        <v>125431000</v>
      </c>
      <c r="CD30" s="72">
        <f>+CD9+CD28</f>
        <v>125431000</v>
      </c>
      <c r="CF30" s="72">
        <f>+CF9+CF28</f>
        <v>25692000</v>
      </c>
      <c r="CG30" s="72">
        <f>+CG9+CG28</f>
        <v>63857000</v>
      </c>
      <c r="CH30" s="72">
        <f>+CH9+CH28</f>
        <v>106845000</v>
      </c>
      <c r="CI30" s="72">
        <f>+CI9+CI28</f>
        <v>128033000</v>
      </c>
      <c r="CJ30" s="72">
        <f>+CJ9+CJ28</f>
        <v>128033000</v>
      </c>
      <c r="CL30" s="72">
        <f>+CL9+CL28</f>
        <v>4704000</v>
      </c>
      <c r="CM30" s="72">
        <f>+CM9+CM28</f>
        <v>24121000</v>
      </c>
      <c r="CN30" s="72">
        <f>+CN9+CN28</f>
        <v>49124000</v>
      </c>
      <c r="CO30" s="72">
        <f>+CO9+CO28</f>
        <v>68112000</v>
      </c>
      <c r="CP30" s="72">
        <f>+CP9+CP28</f>
        <v>68112000</v>
      </c>
      <c r="CR30" s="72">
        <f>+CR9+CR28</f>
        <v>7367000</v>
      </c>
      <c r="CS30" s="72">
        <f>+CS9+CS28</f>
        <v>25186000</v>
      </c>
      <c r="CT30" s="72">
        <f>+CT9+CT28</f>
        <v>39381000</v>
      </c>
      <c r="CU30" s="72">
        <f>+CU9+CU28</f>
        <v>42137000</v>
      </c>
      <c r="CV30" s="72">
        <f>+CV9+CV28</f>
        <v>42137000</v>
      </c>
      <c r="CX30" s="72">
        <f>+CX9+CX28</f>
        <v>1847000</v>
      </c>
      <c r="CY30" s="72">
        <f>+CY9+CY28</f>
        <v>2963000</v>
      </c>
      <c r="CZ30" s="72">
        <f>+CZ9+CZ28</f>
        <v>15197000</v>
      </c>
      <c r="DA30" s="72">
        <f>+DA9+DA28</f>
        <v>15531000</v>
      </c>
      <c r="DB30" s="72">
        <f>+DB9+DB28</f>
        <v>15531000</v>
      </c>
      <c r="DD30" s="72">
        <f>+DD9+DD28</f>
        <v>-16558000</v>
      </c>
      <c r="DE30" s="72">
        <f>+DE9+DE28</f>
        <v>-31620000</v>
      </c>
      <c r="DF30" s="72">
        <f>+DF9+DF28</f>
        <v>-34050000</v>
      </c>
      <c r="DG30" s="72">
        <f>+DG9+DG28</f>
        <v>-48478000</v>
      </c>
      <c r="DH30" s="72">
        <f>+DH9+DH28</f>
        <v>-48478000</v>
      </c>
      <c r="DJ30" s="72">
        <f>+DJ9+DJ28</f>
        <v>-5477000</v>
      </c>
      <c r="DK30" s="72">
        <f>+DK9+DK28</f>
        <v>-20131000</v>
      </c>
      <c r="DL30" s="72">
        <f>+DL9+DL28</f>
        <v>-20795000</v>
      </c>
      <c r="DM30" s="72">
        <f>+DM9+DM28</f>
        <v>-34914000</v>
      </c>
      <c r="DN30" s="72">
        <f>+DN9+DN28</f>
        <v>-34914000</v>
      </c>
      <c r="DP30" s="72">
        <f>+DP9+DP28</f>
        <v>-14924000</v>
      </c>
      <c r="DQ30" s="72">
        <f>+DQ9+DQ28</f>
        <v>-25339000</v>
      </c>
      <c r="DR30" s="72">
        <f>+DR9+DR28</f>
        <v>-28915000</v>
      </c>
      <c r="DS30" s="72">
        <f>+DS9+DS28</f>
        <v>-35751000</v>
      </c>
      <c r="DT30" s="72">
        <f>+DT9+DT28</f>
        <v>-35751000</v>
      </c>
    </row>
    <row r="31" spans="1:124" ht="15.75" customHeight="1" x14ac:dyDescent="0.25">
      <c r="A31" s="130" t="s">
        <v>313</v>
      </c>
      <c r="C31" s="75">
        <f>HLOOKUP(C$7,$X$7:$BX$49,$O31,FALSE)</f>
        <v>12421000</v>
      </c>
      <c r="E31" s="75">
        <f>HLOOKUP(E$7,$X$7:$BX$49,$O31,FALSE)</f>
        <v>10732000</v>
      </c>
      <c r="G31" s="75">
        <f>HLOOKUP(G$7,$X$7:$BX$49,$O31,FALSE)</f>
        <v>6468000</v>
      </c>
      <c r="I31" s="75">
        <f>HLOOKUP(I$7,$BX$7:$DU$39,$O31,FALSE)</f>
        <v>30537000</v>
      </c>
      <c r="K31" s="75">
        <f>HLOOKUP(K$7,$BX$7:$DU$39,$O31,FALSE)</f>
        <v>25935000</v>
      </c>
      <c r="M31" s="75">
        <f>HLOOKUP(M$7,$BX$7:$DU$39,$O31,FALSE)</f>
        <v>12262000</v>
      </c>
      <c r="O31" s="191">
        <f t="shared" si="0"/>
        <v>25</v>
      </c>
      <c r="X31" s="172"/>
      <c r="Z31" s="225">
        <v>7371000</v>
      </c>
      <c r="AA31" s="225">
        <v>10745000</v>
      </c>
      <c r="AB31" s="225">
        <v>12421000</v>
      </c>
      <c r="AC31" s="225">
        <v>0</v>
      </c>
      <c r="AD31" s="225">
        <f>SUM(Z31:AC31)</f>
        <v>30537000</v>
      </c>
      <c r="AF31" s="75">
        <v>6167000</v>
      </c>
      <c r="AG31" s="75">
        <v>9036000</v>
      </c>
      <c r="AH31" s="75">
        <v>10732000</v>
      </c>
      <c r="AI31" s="75">
        <v>3947000</v>
      </c>
      <c r="AJ31" s="75">
        <f>SUM(AF31:AI31)</f>
        <v>29882000</v>
      </c>
      <c r="AL31" s="75">
        <v>1237000</v>
      </c>
      <c r="AM31" s="75">
        <v>4557000</v>
      </c>
      <c r="AN31" s="75">
        <v>6468000</v>
      </c>
      <c r="AO31" s="75">
        <v>-2141000</v>
      </c>
      <c r="AP31" s="75">
        <f>SUM(AL31:AO31)</f>
        <v>10121000</v>
      </c>
      <c r="AR31" s="75">
        <v>865000</v>
      </c>
      <c r="AS31" s="75">
        <v>-12000</v>
      </c>
      <c r="AT31" s="75">
        <v>4271000</v>
      </c>
      <c r="AU31" s="75">
        <v>3391000</v>
      </c>
      <c r="AV31" s="75">
        <f>SUM(AR31:AU31)</f>
        <v>8515000</v>
      </c>
      <c r="AX31" s="75">
        <v>934000</v>
      </c>
      <c r="AY31" s="75">
        <v>-1291000</v>
      </c>
      <c r="AZ31" s="75">
        <v>2347000</v>
      </c>
      <c r="BA31" s="75">
        <v>-2628000</v>
      </c>
      <c r="BB31" s="75">
        <f>SUM(AX31:BA31)</f>
        <v>-638000</v>
      </c>
      <c r="BD31" s="75">
        <v>-216000</v>
      </c>
      <c r="BE31" s="75">
        <v>190000</v>
      </c>
      <c r="BF31" s="75">
        <v>-227000</v>
      </c>
      <c r="BG31" s="75">
        <v>-11199000</v>
      </c>
      <c r="BH31" s="75">
        <f>SUM(BD31:BG31)</f>
        <v>-11452000</v>
      </c>
      <c r="BJ31" s="75">
        <v>-1078000</v>
      </c>
      <c r="BK31" s="75">
        <v>-3790000</v>
      </c>
      <c r="BL31" s="75">
        <v>-2941000</v>
      </c>
      <c r="BM31" s="75">
        <v>-5155000</v>
      </c>
      <c r="BN31" s="75">
        <f>SUM(BJ31:BM31)</f>
        <v>-12964000</v>
      </c>
      <c r="BP31" s="75">
        <v>-4556000</v>
      </c>
      <c r="BQ31" s="75">
        <v>-3164000</v>
      </c>
      <c r="BR31" s="75">
        <v>-2514000</v>
      </c>
      <c r="BS31" s="75">
        <v>-2352000</v>
      </c>
      <c r="BT31" s="75">
        <v>-12586000</v>
      </c>
      <c r="BX31" s="167"/>
      <c r="BZ31" s="75">
        <f>+Z31</f>
        <v>7371000</v>
      </c>
      <c r="CA31" s="75">
        <f>SUM($Z31:AA31)</f>
        <v>18116000</v>
      </c>
      <c r="CB31" s="75">
        <f>SUM($Z31:AB31)</f>
        <v>30537000</v>
      </c>
      <c r="CC31" s="75">
        <f>SUM($Z31:AC31)</f>
        <v>30537000</v>
      </c>
      <c r="CD31" s="75">
        <f>+CC31</f>
        <v>30537000</v>
      </c>
      <c r="CF31" s="75">
        <f>+AF31</f>
        <v>6167000</v>
      </c>
      <c r="CG31" s="75">
        <f>SUM($AF31:AG31)</f>
        <v>15203000</v>
      </c>
      <c r="CH31" s="75">
        <f>SUM($AF31:AH31)</f>
        <v>25935000</v>
      </c>
      <c r="CI31" s="75">
        <f>SUM($AF31:AI31)</f>
        <v>29882000</v>
      </c>
      <c r="CJ31" s="75">
        <f>+CI31</f>
        <v>29882000</v>
      </c>
      <c r="CL31" s="75">
        <f>+AL31</f>
        <v>1237000</v>
      </c>
      <c r="CM31" s="75">
        <f>SUM($AL31:AM31)</f>
        <v>5794000</v>
      </c>
      <c r="CN31" s="75">
        <f>SUM($AL31:AN31)</f>
        <v>12262000</v>
      </c>
      <c r="CO31" s="75">
        <f>SUM($AL31:AO31)</f>
        <v>10121000</v>
      </c>
      <c r="CP31" s="75">
        <f>+CO31</f>
        <v>10121000</v>
      </c>
      <c r="CR31" s="75">
        <f>+AR31</f>
        <v>865000</v>
      </c>
      <c r="CS31" s="75">
        <f>SUM($AR31:AS31)</f>
        <v>853000</v>
      </c>
      <c r="CT31" s="75">
        <f>SUM($AR31:AT31)</f>
        <v>5124000</v>
      </c>
      <c r="CU31" s="75">
        <f>SUM($AR31:AU31)</f>
        <v>8515000</v>
      </c>
      <c r="CV31" s="75">
        <f>+CU31</f>
        <v>8515000</v>
      </c>
      <c r="CX31" s="75">
        <f>+AX31</f>
        <v>934000</v>
      </c>
      <c r="CY31" s="75">
        <f>SUM($AX31:AY31)</f>
        <v>-357000</v>
      </c>
      <c r="CZ31" s="75">
        <f>SUM($AX31:AZ31)</f>
        <v>1990000</v>
      </c>
      <c r="DA31" s="75">
        <f>SUM($AX31:BA31)</f>
        <v>-638000</v>
      </c>
      <c r="DB31" s="75">
        <f>+BB31</f>
        <v>-638000</v>
      </c>
      <c r="DD31" s="75">
        <f>+BD31</f>
        <v>-216000</v>
      </c>
      <c r="DE31" s="75">
        <f>SUM($BD31:BE31)</f>
        <v>-26000</v>
      </c>
      <c r="DF31" s="75">
        <f>SUM($BD31:BF31)</f>
        <v>-253000</v>
      </c>
      <c r="DG31" s="75">
        <f>SUM($BD31:BG31)</f>
        <v>-11452000</v>
      </c>
      <c r="DH31" s="75">
        <f>+BH31</f>
        <v>-11452000</v>
      </c>
      <c r="DJ31" s="75">
        <f>+BJ31</f>
        <v>-1078000</v>
      </c>
      <c r="DK31" s="75">
        <f>SUM($BJ31:BK31)</f>
        <v>-4868000</v>
      </c>
      <c r="DL31" s="75">
        <f>SUM($BJ31:BL31)</f>
        <v>-7809000</v>
      </c>
      <c r="DM31" s="75">
        <f>SUM($BJ31:BM31)</f>
        <v>-12964000</v>
      </c>
      <c r="DN31" s="75">
        <f>+BN31</f>
        <v>-12964000</v>
      </c>
      <c r="DP31" s="75">
        <f>+BP31</f>
        <v>-4556000</v>
      </c>
      <c r="DQ31" s="75">
        <f>SUM($BP31:BQ31)</f>
        <v>-7720000</v>
      </c>
      <c r="DR31" s="75">
        <f>SUM($BP31:BR31)</f>
        <v>-10234000</v>
      </c>
      <c r="DS31" s="75">
        <f>SUM($BP31:BS31)</f>
        <v>-12586000</v>
      </c>
      <c r="DT31" s="75">
        <f>+BT31</f>
        <v>-12586000</v>
      </c>
    </row>
    <row r="32" spans="1:124" ht="15.75" customHeight="1" x14ac:dyDescent="0.25">
      <c r="A32" s="130" t="s">
        <v>314</v>
      </c>
      <c r="C32" s="80">
        <f>+C30-C31</f>
        <v>36880000</v>
      </c>
      <c r="D32" s="176"/>
      <c r="E32" s="80">
        <f>+E30-E31</f>
        <v>32256000</v>
      </c>
      <c r="F32" s="176"/>
      <c r="G32" s="80">
        <f>+G30-G31</f>
        <v>18535000</v>
      </c>
      <c r="I32" s="80">
        <f>+I30-I31</f>
        <v>94894000</v>
      </c>
      <c r="J32" s="176"/>
      <c r="K32" s="80">
        <f>+K30-K31</f>
        <v>80910000</v>
      </c>
      <c r="L32" s="176"/>
      <c r="M32" s="80">
        <f>+M30-M31</f>
        <v>36862000</v>
      </c>
      <c r="O32" s="191">
        <f t="shared" si="0"/>
        <v>26</v>
      </c>
      <c r="X32" s="172"/>
      <c r="Z32" s="80">
        <f>+Z30-Z31</f>
        <v>23862000</v>
      </c>
      <c r="AA32" s="80">
        <f>+AA30-AA31</f>
        <v>34152000</v>
      </c>
      <c r="AB32" s="80">
        <f>+AB30-AB31</f>
        <v>36880000</v>
      </c>
      <c r="AC32" s="80">
        <f>+AC30-AC31</f>
        <v>0</v>
      </c>
      <c r="AD32" s="80">
        <f>+AD30-AD31</f>
        <v>94894000</v>
      </c>
      <c r="AF32" s="80">
        <f>+AF30-AF31</f>
        <v>19525000</v>
      </c>
      <c r="AG32" s="80">
        <f>+AG30-AG31</f>
        <v>29129000</v>
      </c>
      <c r="AH32" s="80">
        <f>+AH30-AH31</f>
        <v>32256000</v>
      </c>
      <c r="AI32" s="80">
        <f>+AI30-AI31</f>
        <v>17241000</v>
      </c>
      <c r="AJ32" s="80">
        <f>+AJ30-AJ31</f>
        <v>98151000</v>
      </c>
      <c r="AL32" s="80">
        <f>+AL30-AL31</f>
        <v>3467000</v>
      </c>
      <c r="AM32" s="80">
        <f>+AM30-AM31</f>
        <v>14860000</v>
      </c>
      <c r="AN32" s="80">
        <f>+AN30-AN31</f>
        <v>18535000</v>
      </c>
      <c r="AO32" s="80">
        <f>+AO30-AO31</f>
        <v>21129000</v>
      </c>
      <c r="AP32" s="80">
        <f>+AP30-AP31</f>
        <v>57991000</v>
      </c>
      <c r="AR32" s="80">
        <f>+AR30-AR31</f>
        <v>6502000</v>
      </c>
      <c r="AS32" s="80">
        <f>+AS30-AS31</f>
        <v>17831000</v>
      </c>
      <c r="AT32" s="80">
        <f>+AT30-AT31</f>
        <v>9924000</v>
      </c>
      <c r="AU32" s="80">
        <f>+AU30-AU31</f>
        <v>-635000</v>
      </c>
      <c r="AV32" s="80">
        <f>+AV30-AV31</f>
        <v>33622000</v>
      </c>
      <c r="AX32" s="80">
        <f>+AX30-AX31</f>
        <v>913000</v>
      </c>
      <c r="AY32" s="80">
        <f>+AY30-AY31</f>
        <v>2407000</v>
      </c>
      <c r="AZ32" s="80">
        <f>+AZ30-AZ31</f>
        <v>9887000</v>
      </c>
      <c r="BA32" s="80">
        <f>+BA30-BA31</f>
        <v>2962000</v>
      </c>
      <c r="BB32" s="80">
        <f>+BB30-BB31</f>
        <v>16169000</v>
      </c>
      <c r="BD32" s="80">
        <f>+BD30-BD31</f>
        <v>-16342000</v>
      </c>
      <c r="BE32" s="80">
        <f>+BE30-BE31</f>
        <v>-15252000</v>
      </c>
      <c r="BF32" s="80">
        <f>+BF30-BF31</f>
        <v>-2203000</v>
      </c>
      <c r="BG32" s="80">
        <f>+BG30-BG31</f>
        <v>-3229000</v>
      </c>
      <c r="BH32" s="80">
        <f>+BH30-BH31</f>
        <v>-37026000</v>
      </c>
      <c r="BJ32" s="80">
        <f>+BJ30-BJ31</f>
        <v>-4399000</v>
      </c>
      <c r="BK32" s="80">
        <f>+BK30-BK31</f>
        <v>-10864000</v>
      </c>
      <c r="BL32" s="80">
        <f>+BL30-BL31</f>
        <v>2277000</v>
      </c>
      <c r="BM32" s="80">
        <f>+BM30-BM31</f>
        <v>-8964000</v>
      </c>
      <c r="BN32" s="80">
        <f>+BN30-BN31</f>
        <v>-21950000</v>
      </c>
      <c r="BP32" s="80">
        <f>+BP30-BP31</f>
        <v>-10368000</v>
      </c>
      <c r="BQ32" s="80">
        <f>+BQ30-BQ31</f>
        <v>-7251000</v>
      </c>
      <c r="BR32" s="80">
        <f>+BR30-BR31</f>
        <v>-1062000</v>
      </c>
      <c r="BS32" s="80">
        <f>+BS30-BS31</f>
        <v>-4484000</v>
      </c>
      <c r="BT32" s="80">
        <f>+BT30-BT31</f>
        <v>-23165000</v>
      </c>
      <c r="BX32" s="167"/>
      <c r="BZ32" s="80">
        <f>+BZ30-BZ31</f>
        <v>23862000</v>
      </c>
      <c r="CA32" s="80">
        <f>+CA30-CA31</f>
        <v>58014000</v>
      </c>
      <c r="CB32" s="80">
        <f>+CB30-CB31</f>
        <v>94894000</v>
      </c>
      <c r="CC32" s="80">
        <f>+CC30-CC31</f>
        <v>94894000</v>
      </c>
      <c r="CD32" s="80">
        <f>+CD30-CD31</f>
        <v>94894000</v>
      </c>
      <c r="CF32" s="80">
        <f>+CF30-CF31</f>
        <v>19525000</v>
      </c>
      <c r="CG32" s="80">
        <f>+CG30-CG31</f>
        <v>48654000</v>
      </c>
      <c r="CH32" s="80">
        <f>+CH30-CH31</f>
        <v>80910000</v>
      </c>
      <c r="CI32" s="80">
        <f>+CI30-CI31</f>
        <v>98151000</v>
      </c>
      <c r="CJ32" s="80">
        <f>+CJ30-CJ31</f>
        <v>98151000</v>
      </c>
      <c r="CL32" s="80">
        <f>+CL30-CL31</f>
        <v>3467000</v>
      </c>
      <c r="CM32" s="80">
        <f>+CM30-CM31</f>
        <v>18327000</v>
      </c>
      <c r="CN32" s="80">
        <f>+CN30-CN31</f>
        <v>36862000</v>
      </c>
      <c r="CO32" s="80">
        <f>+CO30-CO31</f>
        <v>57991000</v>
      </c>
      <c r="CP32" s="80">
        <f>+CP30-CP31</f>
        <v>57991000</v>
      </c>
      <c r="CR32" s="80">
        <f>+CR30-CR31</f>
        <v>6502000</v>
      </c>
      <c r="CS32" s="80">
        <f>+CS30-CS31</f>
        <v>24333000</v>
      </c>
      <c r="CT32" s="80">
        <f>+CT30-CT31</f>
        <v>34257000</v>
      </c>
      <c r="CU32" s="80">
        <f>+CU30-CU31</f>
        <v>33622000</v>
      </c>
      <c r="CV32" s="80">
        <f>+CV30-CV31</f>
        <v>33622000</v>
      </c>
      <c r="CX32" s="80">
        <f>+CX30-CX31</f>
        <v>913000</v>
      </c>
      <c r="CY32" s="80">
        <f>+CY30-CY31</f>
        <v>3320000</v>
      </c>
      <c r="CZ32" s="80">
        <f>+CZ30-CZ31</f>
        <v>13207000</v>
      </c>
      <c r="DA32" s="80">
        <f>+DA30-DA31</f>
        <v>16169000</v>
      </c>
      <c r="DB32" s="80">
        <f>+DB30-DB31</f>
        <v>16169000</v>
      </c>
      <c r="DD32" s="80">
        <f>+DD30-DD31</f>
        <v>-16342000</v>
      </c>
      <c r="DE32" s="80">
        <f>+DE30-DE31</f>
        <v>-31594000</v>
      </c>
      <c r="DF32" s="80">
        <f>+DF30-DF31</f>
        <v>-33797000</v>
      </c>
      <c r="DG32" s="80">
        <f>+DG30-DG31</f>
        <v>-37026000</v>
      </c>
      <c r="DH32" s="80">
        <f>+DH30-DH31</f>
        <v>-37026000</v>
      </c>
      <c r="DJ32" s="80">
        <f>+DJ30-DJ31</f>
        <v>-4399000</v>
      </c>
      <c r="DK32" s="80">
        <f>+DK30-DK31</f>
        <v>-15263000</v>
      </c>
      <c r="DL32" s="80">
        <f>+DL30-DL31</f>
        <v>-12986000</v>
      </c>
      <c r="DM32" s="80">
        <f>+DM30-DM31</f>
        <v>-21950000</v>
      </c>
      <c r="DN32" s="80">
        <f>+DN30-DN31</f>
        <v>-21950000</v>
      </c>
      <c r="DP32" s="80">
        <f>+DP30-DP31</f>
        <v>-10368000</v>
      </c>
      <c r="DQ32" s="80">
        <f>+DQ30-DQ31</f>
        <v>-17619000</v>
      </c>
      <c r="DR32" s="80">
        <f>+DR30-DR31</f>
        <v>-18681000</v>
      </c>
      <c r="DS32" s="80">
        <f>+DS30-DS31</f>
        <v>-23165000</v>
      </c>
      <c r="DT32" s="80">
        <f>+DT30-DT31</f>
        <v>-23165000</v>
      </c>
    </row>
    <row r="33" spans="1:124" ht="15.75" customHeight="1" x14ac:dyDescent="0.25">
      <c r="C33" s="104"/>
      <c r="D33" s="104"/>
      <c r="E33" s="104"/>
      <c r="F33" s="104"/>
      <c r="G33" s="104"/>
      <c r="I33" s="104"/>
      <c r="J33" s="104"/>
      <c r="K33" s="104"/>
      <c r="L33" s="104"/>
      <c r="M33" s="104"/>
      <c r="O33" s="191">
        <f t="shared" si="0"/>
        <v>27</v>
      </c>
      <c r="X33" s="167"/>
      <c r="Z33" s="104"/>
      <c r="AA33" s="104"/>
      <c r="AB33" s="104"/>
      <c r="AC33" s="104"/>
      <c r="AD33" s="104"/>
      <c r="AF33" s="104"/>
      <c r="AG33" s="104"/>
      <c r="AH33" s="104"/>
      <c r="AI33" s="104"/>
      <c r="AJ33" s="104"/>
      <c r="AL33" s="104"/>
      <c r="AM33" s="104"/>
      <c r="AN33" s="104"/>
      <c r="AO33" s="104"/>
      <c r="AP33" s="104"/>
      <c r="AR33" s="104"/>
      <c r="AS33" s="104"/>
      <c r="AT33" s="104"/>
      <c r="AU33" s="104"/>
      <c r="AV33" s="104"/>
      <c r="AX33" s="104"/>
      <c r="AY33" s="104"/>
      <c r="AZ33" s="104"/>
      <c r="BA33" s="104"/>
      <c r="BB33" s="104"/>
      <c r="BD33" s="104"/>
      <c r="BE33" s="104"/>
      <c r="BF33" s="104"/>
      <c r="BG33" s="104"/>
      <c r="BH33" s="104"/>
      <c r="BJ33" s="104"/>
      <c r="BK33" s="104"/>
      <c r="BL33" s="104"/>
      <c r="BM33" s="104"/>
      <c r="BN33" s="104"/>
      <c r="BP33" s="104"/>
      <c r="BQ33" s="104"/>
      <c r="BR33" s="104"/>
      <c r="BS33" s="104"/>
      <c r="BT33" s="104"/>
      <c r="BX33" s="167"/>
      <c r="BZ33" s="104"/>
      <c r="CA33" s="104"/>
      <c r="CB33" s="104"/>
      <c r="CC33" s="104"/>
      <c r="CD33" s="104"/>
      <c r="CF33" s="104"/>
      <c r="CG33" s="104"/>
      <c r="CH33" s="104"/>
      <c r="CI33" s="104"/>
      <c r="CJ33" s="104"/>
      <c r="CL33" s="104"/>
      <c r="CM33" s="104"/>
      <c r="CN33" s="104"/>
      <c r="CO33" s="104"/>
      <c r="CP33" s="104"/>
      <c r="CR33" s="104"/>
      <c r="CS33" s="104"/>
      <c r="CT33" s="104"/>
      <c r="CU33" s="104"/>
      <c r="CV33" s="104"/>
      <c r="CX33" s="104"/>
      <c r="CY33" s="104"/>
      <c r="CZ33" s="104"/>
      <c r="DA33" s="104"/>
      <c r="DB33" s="104"/>
      <c r="DD33" s="104"/>
      <c r="DE33" s="104"/>
      <c r="DF33" s="104"/>
      <c r="DG33" s="104"/>
      <c r="DH33" s="104"/>
      <c r="DJ33" s="104"/>
      <c r="DK33" s="104"/>
      <c r="DL33" s="104"/>
      <c r="DM33" s="104"/>
      <c r="DN33" s="104"/>
      <c r="DP33" s="104"/>
      <c r="DQ33" s="104"/>
      <c r="DR33" s="104"/>
      <c r="DS33" s="104"/>
      <c r="DT33" s="104"/>
    </row>
    <row r="34" spans="1:124" ht="12.5" customHeight="1" x14ac:dyDescent="0.25">
      <c r="A34" s="22" t="s">
        <v>315</v>
      </c>
      <c r="O34" s="191">
        <f t="shared" si="0"/>
        <v>28</v>
      </c>
      <c r="X34" s="167"/>
      <c r="BX34" s="167"/>
    </row>
    <row r="35" spans="1:124" ht="12.5" customHeight="1" x14ac:dyDescent="0.25">
      <c r="A35" s="218" t="s">
        <v>306</v>
      </c>
      <c r="C35" s="219">
        <f>HLOOKUP(C$7,$X$7:$BX$49,$O35,FALSE)</f>
        <v>0.56192957596257864</v>
      </c>
      <c r="E35" s="219">
        <f>HLOOKUP(E$7,$X$7:$BX$49,$O35,FALSE)</f>
        <v>0.48901623686723972</v>
      </c>
      <c r="G35" s="219">
        <f>HLOOKUP(G$7,$X$7:$BX$49,$O35,FALSE)</f>
        <v>0.28610459372684616</v>
      </c>
      <c r="I35" s="219">
        <f>HLOOKUP(I$7,$BX$7:$DU$39,$O35,FALSE)</f>
        <v>1.4338339729835907</v>
      </c>
      <c r="K35" s="219">
        <f>HLOOKUP(K$7,$BX$7:$DU$39,$O35,FALSE)</f>
        <v>1.2213321855537942</v>
      </c>
      <c r="M35" s="219">
        <f>HLOOKUP(M$7,$BX$7:$DU$39,$O35,FALSE)</f>
        <v>0.55214870957595008</v>
      </c>
      <c r="O35" s="191">
        <f t="shared" si="0"/>
        <v>29</v>
      </c>
      <c r="X35" s="172"/>
      <c r="Z35" s="219">
        <f>IFERROR(Z32/Z38,0)</f>
        <v>0.35817535011482865</v>
      </c>
      <c r="AA35" s="219">
        <f>IFERROR(AA32/AA38,0)</f>
        <v>0.51515974296316414</v>
      </c>
      <c r="AB35" s="219">
        <f>IFERROR(AB32/AB38,0)</f>
        <v>0.56192957596257864</v>
      </c>
      <c r="AC35" s="219">
        <f>IFERROR(AC32/AC38,0)</f>
        <v>0</v>
      </c>
      <c r="AD35" s="219">
        <f>IFERROR(AD32/AD38,0)</f>
        <v>1.4338339729835907</v>
      </c>
      <c r="AF35" s="219">
        <f>AF32/AF38</f>
        <v>0.29362226867377478</v>
      </c>
      <c r="AG35" s="219">
        <f>AG32/AG38</f>
        <v>0.43945748596946471</v>
      </c>
      <c r="AH35" s="219">
        <f>AH32/AH38</f>
        <v>0.48901623686723972</v>
      </c>
      <c r="AI35" s="219">
        <f>AI32/AI38</f>
        <v>0.25995506837748594</v>
      </c>
      <c r="AJ35" s="219">
        <f>AJ32/AJ38</f>
        <v>1.4811668125433857</v>
      </c>
      <c r="AL35" s="219">
        <f>AL32/AL38</f>
        <v>5.0684911480490619E-2</v>
      </c>
      <c r="AM35" s="219">
        <f>AM32/AM38</f>
        <v>0.22147370931203053</v>
      </c>
      <c r="AN35" s="219">
        <f>AN32/AN38</f>
        <v>0.28610459372684616</v>
      </c>
      <c r="AO35" s="219">
        <f>AO32/AO38</f>
        <v>0.32443263827042962</v>
      </c>
      <c r="AP35" s="219">
        <f>AP32/AP38</f>
        <v>0.87399023390402697</v>
      </c>
      <c r="AR35" s="219">
        <f>AR32/AR38</f>
        <v>9.5158646528509541E-2</v>
      </c>
      <c r="AS35" s="219">
        <f>AS32/AS38</f>
        <v>0.26205872843243877</v>
      </c>
      <c r="AT35" s="219">
        <f>AT32/AT38</f>
        <v>0.14553453585569731</v>
      </c>
      <c r="AU35" s="219">
        <f>AU32/AU38</f>
        <v>-9.2995328266186304E-3</v>
      </c>
      <c r="AV35" s="219">
        <f>AV32/AV38</f>
        <v>0.49291170045887028</v>
      </c>
      <c r="AX35" s="219">
        <f>AX32/AX38</f>
        <v>1.3924050632911392E-2</v>
      </c>
      <c r="AY35" s="219">
        <f>AY32/AY38</f>
        <v>3.6464172095137103E-2</v>
      </c>
      <c r="AZ35" s="219">
        <f>AZ32/AZ38</f>
        <v>0.14862528749455076</v>
      </c>
      <c r="BA35" s="219">
        <f>BA32/BA38</f>
        <v>4.4135834661977916E-2</v>
      </c>
      <c r="BB35" s="219">
        <f>BB32/BB38</f>
        <v>0.24386344612275371</v>
      </c>
      <c r="BD35" s="219">
        <f>BD32/BD38</f>
        <v>-0.23716367224915103</v>
      </c>
      <c r="BE35" s="219">
        <f>BE32/BE38</f>
        <v>-0.22534129188582236</v>
      </c>
      <c r="BF35" s="219">
        <f>BF32/BF38</f>
        <v>-3.2650097075867385E-2</v>
      </c>
      <c r="BG35" s="219">
        <f>BG32/BG38</f>
        <v>-4.8210579751257893E-2</v>
      </c>
      <c r="BH35" s="219">
        <f>BH32/BH38</f>
        <v>-0.54642857142857137</v>
      </c>
      <c r="BJ35" s="219">
        <f>ROUND(+BJ32/BJ38,2)</f>
        <v>-0.06</v>
      </c>
      <c r="BK35" s="219">
        <f>ROUND(+BK32/BK38,2)</f>
        <v>-0.14000000000000001</v>
      </c>
      <c r="BL35" s="219">
        <f>ROUND(+BL32/BL38,2)</f>
        <v>0.03</v>
      </c>
      <c r="BM35" s="219">
        <f>ROUND(+BM32/BM38,2)</f>
        <v>-0.13</v>
      </c>
      <c r="BN35" s="219">
        <f>ROUND(+BN32/BN38,2)</f>
        <v>-0.28999999999999998</v>
      </c>
      <c r="BP35" s="219">
        <f>ROUND(+BP32/BP38,2)</f>
        <v>-0.13</v>
      </c>
      <c r="BQ35" s="219">
        <f>ROUND(+BQ32/BQ38,2)</f>
        <v>-0.09</v>
      </c>
      <c r="BR35" s="219">
        <f>ROUND(+BR32/BR38,2)</f>
        <v>-0.01</v>
      </c>
      <c r="BS35" s="219">
        <f>ROUND(+BS32/BS38,2)</f>
        <v>-0.06</v>
      </c>
      <c r="BT35" s="219">
        <f>ROUND(+BT32/BT38,2)</f>
        <v>-0.28999999999999998</v>
      </c>
      <c r="BX35" s="167"/>
      <c r="BZ35" s="219">
        <f>IFERROR(+BZ32/BZ38,0)</f>
        <v>0.35817535011482865</v>
      </c>
      <c r="CA35" s="219">
        <f>IFERROR(+CA32/CA38,0)</f>
        <v>0.87294887710190727</v>
      </c>
      <c r="CB35" s="219">
        <f>IFERROR(+CB32/CB38,0)</f>
        <v>1.4338339729835907</v>
      </c>
      <c r="CC35" s="219">
        <f>IFERROR(+CC32/CC38,0)</f>
        <v>0</v>
      </c>
      <c r="CD35" s="219">
        <f>IFERROR(+CD32/CD38,0)</f>
        <v>0</v>
      </c>
      <c r="CF35" s="219">
        <f>+CF32/CF38</f>
        <v>0.29362226867377478</v>
      </c>
      <c r="CG35" s="219">
        <f>+CG32/CG38</f>
        <v>0.73284581378359859</v>
      </c>
      <c r="CH35" s="219">
        <f>+CH32/CH38</f>
        <v>1.2213321855537942</v>
      </c>
      <c r="CI35" s="219">
        <f>+CI32/CI38</f>
        <v>1.4811612246052854</v>
      </c>
      <c r="CJ35" s="219">
        <f>+CJ32/CJ38</f>
        <v>1.4811612246052854</v>
      </c>
      <c r="CL35" s="219">
        <f>+CL32/CL38</f>
        <v>5.0684911480490619E-2</v>
      </c>
      <c r="CM35" s="219">
        <f>+CM32/CM38</f>
        <v>0.27051122148502943</v>
      </c>
      <c r="CN35" s="219">
        <f>+CN32/CN38</f>
        <v>0.55214870957595008</v>
      </c>
      <c r="CO35" s="219">
        <f>+CO32/CO38</f>
        <v>0.87398694091006712</v>
      </c>
      <c r="CP35" s="219">
        <f>+CP32/CP38</f>
        <v>0.87398694091006712</v>
      </c>
      <c r="CR35" s="219">
        <f>+CR32/CR38</f>
        <v>9.5158646528509541E-2</v>
      </c>
      <c r="CS35" s="219">
        <f>+CS32/CS38</f>
        <v>0.35686734619051114</v>
      </c>
      <c r="CT35" s="219">
        <f>+CT32/CT38</f>
        <v>0.50240027130230602</v>
      </c>
      <c r="CU35" s="219">
        <f>+CU32/CU38</f>
        <v>0.49291350703518139</v>
      </c>
      <c r="CV35" s="219">
        <f>+CV32/CV38</f>
        <v>0.49291350703518139</v>
      </c>
      <c r="CX35" s="219">
        <f>+CX32/CX38</f>
        <v>1.3924050632911392E-2</v>
      </c>
      <c r="CY35" s="219">
        <f>+CY32/CY38</f>
        <v>5.0463596291229672E-2</v>
      </c>
      <c r="CZ35" s="219">
        <f>+CZ32/CZ38</f>
        <v>0.20000202016123947</v>
      </c>
      <c r="DA35" s="219">
        <f>+DA32/DA38</f>
        <v>0.24386344612275371</v>
      </c>
      <c r="DB35" s="219">
        <f>+DB32/DB38</f>
        <v>0.24386344612275371</v>
      </c>
      <c r="DD35" s="219">
        <f>+DD32/DD38</f>
        <v>-0.23716367224915103</v>
      </c>
      <c r="DE35" s="219">
        <f>+DE32/DE38</f>
        <v>-0.46261073285013543</v>
      </c>
      <c r="DF35" s="219">
        <f>+DF32/DF38</f>
        <v>-0.49686126343335146</v>
      </c>
      <c r="DG35" s="219">
        <f>+DG32/DG38</f>
        <v>-0.54642857142857137</v>
      </c>
      <c r="DH35" s="219">
        <f>+DH32/DH38</f>
        <v>-0.54642857142857137</v>
      </c>
      <c r="DJ35" s="219">
        <f>+DJ32/DJ38</f>
        <v>-5.7178137388704753E-2</v>
      </c>
      <c r="DK35" s="219">
        <f>+DK32/DK38</f>
        <v>-0.19772902456876729</v>
      </c>
      <c r="DL35" s="219">
        <f>+DL32/DL38</f>
        <v>-0.16808107725862378</v>
      </c>
      <c r="DM35" s="219">
        <f>+DM32/DM38</f>
        <v>-0.29258864302852572</v>
      </c>
      <c r="DN35" s="219">
        <f>+DN32/DN38</f>
        <v>-0.29258864302852572</v>
      </c>
      <c r="DP35" s="219">
        <f>+DP32/DP38</f>
        <v>-0.13178767541183647</v>
      </c>
      <c r="DQ35" s="219">
        <f>+DQ32/DQ38</f>
        <v>-0.22315666816543914</v>
      </c>
      <c r="DR35" s="219">
        <f>+DR32/DR38</f>
        <v>-0.23651825379412642</v>
      </c>
      <c r="DS35" s="219">
        <f>+DS32/DS38</f>
        <v>-0.2936329872862557</v>
      </c>
      <c r="DT35" s="219">
        <f>+DT32/DT38</f>
        <v>-0.2936329872862557</v>
      </c>
    </row>
    <row r="36" spans="1:124" ht="12.5" customHeight="1" x14ac:dyDescent="0.25">
      <c r="A36" s="218" t="s">
        <v>307</v>
      </c>
      <c r="C36" s="221">
        <f>HLOOKUP(C$7,$X$7:$BX$49,$O36,FALSE)</f>
        <v>0.5525673104295582</v>
      </c>
      <c r="D36" s="222"/>
      <c r="E36" s="221">
        <f>HLOOKUP(E$7,$X$7:$BX$49,$O36,FALSE)</f>
        <v>0.47475089413184579</v>
      </c>
      <c r="F36" s="222"/>
      <c r="G36" s="221">
        <f>HLOOKUP(G$7,$X$7:$BX$49,$O36,FALSE)</f>
        <v>0.28360058755125772</v>
      </c>
      <c r="I36" s="221">
        <f>HLOOKUP(I$7,$BX$7:$DU$39,$O36,FALSE)</f>
        <v>1.4057329086734316</v>
      </c>
      <c r="J36" s="222"/>
      <c r="K36" s="221">
        <f>HLOOKUP(K$7,$BX$7:$DU$39,$O36,FALSE)</f>
        <v>1.1945432802326783</v>
      </c>
      <c r="L36" s="222"/>
      <c r="M36" s="221">
        <f>HLOOKUP(M$7,$BX$7:$DU$39,$O36,FALSE)</f>
        <v>0.54713312454544105</v>
      </c>
      <c r="O36" s="191">
        <f t="shared" si="0"/>
        <v>30</v>
      </c>
      <c r="X36" s="172"/>
      <c r="Z36" s="221">
        <f>IFERROR(Z32/Z39,0)</f>
        <v>0.34853862670347485</v>
      </c>
      <c r="AA36" s="221">
        <f>IFERROR(AA32/AA39,0)</f>
        <v>0.50739128496932062</v>
      </c>
      <c r="AB36" s="221">
        <f>IFERROR(AB32/AB39,0)</f>
        <v>0.5525673104295582</v>
      </c>
      <c r="AC36" s="221">
        <f>IFERROR(AC32/AC39,0)</f>
        <v>0</v>
      </c>
      <c r="AD36" s="221">
        <f>IFERROR(AD32/AD39,0)</f>
        <v>1.4057329086734316</v>
      </c>
      <c r="AF36" s="221">
        <f>AF32/AF39</f>
        <v>0.28974001305870484</v>
      </c>
      <c r="AG36" s="221">
        <f>AG32/AG39</f>
        <v>0.42920080155596158</v>
      </c>
      <c r="AH36" s="221">
        <f>AH32/AH39</f>
        <v>0.47475089413184579</v>
      </c>
      <c r="AI36" s="221">
        <f>AI32/AI39</f>
        <v>0.25180003213039098</v>
      </c>
      <c r="AJ36" s="221">
        <f>AJ32/AJ39</f>
        <v>1.4451397273182367</v>
      </c>
      <c r="AL36" s="221">
        <f>AL32/AL39</f>
        <v>5.0104776356673167E-2</v>
      </c>
      <c r="AM36" s="221">
        <f>AM32/AM39</f>
        <v>0.2199265924698082</v>
      </c>
      <c r="AN36" s="221">
        <f>AN32/AN39</f>
        <v>0.28360058755125772</v>
      </c>
      <c r="AO36" s="221">
        <f>AO32/AO39</f>
        <v>0.3188416732057705</v>
      </c>
      <c r="AP36" s="221">
        <f>AP32/AP39</f>
        <v>0.86428603365277135</v>
      </c>
      <c r="AR36" s="221">
        <f>AR32/AR39</f>
        <v>9.3412829538107894E-2</v>
      </c>
      <c r="AS36" s="221">
        <f>AS32/AS39</f>
        <v>0.25717912105346663</v>
      </c>
      <c r="AT36" s="221">
        <f>AT32/AT39</f>
        <v>0.14189710886785439</v>
      </c>
      <c r="AU36" s="221">
        <f>AU32/AU39</f>
        <v>-9.2995328266186304E-3</v>
      </c>
      <c r="AV36" s="221">
        <f>AV32/AV39</f>
        <v>0.48335250143760783</v>
      </c>
      <c r="AX36" s="221">
        <f>AX32/AX39</f>
        <v>1.3558667597309058E-2</v>
      </c>
      <c r="AY36" s="221">
        <f>AY32/AY39</f>
        <v>3.4983431195860705E-2</v>
      </c>
      <c r="AZ36" s="221">
        <f>AZ32/AZ39</f>
        <v>0.14169831601576496</v>
      </c>
      <c r="BA36" s="221">
        <f>BA32/BA39</f>
        <v>4.2353614070208052E-2</v>
      </c>
      <c r="BB36" s="221">
        <f>BB32/BB39</f>
        <v>0.23445905775560807</v>
      </c>
      <c r="BD36" s="221">
        <f>BD32/BD39</f>
        <v>-0.23716367224915103</v>
      </c>
      <c r="BE36" s="221">
        <f>BE32/BE39</f>
        <v>-0.22534129188582236</v>
      </c>
      <c r="BF36" s="221">
        <f>BF32/BF39</f>
        <v>-3.2650097075867385E-2</v>
      </c>
      <c r="BG36" s="221">
        <f>BG32/BG39</f>
        <v>-4.8210579751257893E-2</v>
      </c>
      <c r="BH36" s="221">
        <f>BH32/BH39</f>
        <v>-0.54642857142857137</v>
      </c>
      <c r="BJ36" s="221">
        <f>ROUND(+BJ32/BJ39,2)</f>
        <v>-0.06</v>
      </c>
      <c r="BK36" s="221">
        <f>ROUND(+BK32/BK39,2)</f>
        <v>-0.14000000000000001</v>
      </c>
      <c r="BL36" s="221">
        <f>ROUND(+BL32/BL39,2)</f>
        <v>0.03</v>
      </c>
      <c r="BM36" s="221">
        <f>ROUND(+BM32/BM39,2)</f>
        <v>-0.13</v>
      </c>
      <c r="BN36" s="221">
        <f>ROUND(+BN32/BN39,2)</f>
        <v>-0.28999999999999998</v>
      </c>
      <c r="BP36" s="221">
        <f>ROUND(+BP32/BP39,2)</f>
        <v>-0.13</v>
      </c>
      <c r="BQ36" s="221">
        <f>ROUND(+BQ32/BQ39,2)</f>
        <v>-0.09</v>
      </c>
      <c r="BR36" s="221">
        <f>ROUND(+BR32/BR39,2)</f>
        <v>-0.01</v>
      </c>
      <c r="BS36" s="221">
        <f>ROUND(+BS32/BS39,2)</f>
        <v>-0.06</v>
      </c>
      <c r="BT36" s="221">
        <f>ROUND(+BT32/BT39,2)</f>
        <v>-0.28999999999999998</v>
      </c>
      <c r="BX36" s="167"/>
      <c r="BZ36" s="221">
        <f>IFERROR(+BZ32/BZ39,0)</f>
        <v>0.34853862670347485</v>
      </c>
      <c r="CA36" s="221">
        <f>IFERROR(+CA32/CA39,0)</f>
        <v>0.85457973661727016</v>
      </c>
      <c r="CB36" s="221">
        <f>IFERROR(+CB32/CB39,0)</f>
        <v>1.4057329086734316</v>
      </c>
      <c r="CC36" s="221">
        <f>IFERROR(+CC32/CC39,0)</f>
        <v>0</v>
      </c>
      <c r="CD36" s="221">
        <f>IFERROR(+CD32/CD39,0)</f>
        <v>0</v>
      </c>
      <c r="CF36" s="221">
        <f>+CF32/CF39</f>
        <v>0.28974001305870484</v>
      </c>
      <c r="CG36" s="221">
        <f>+CG32/CG39</f>
        <v>0.71943573667711602</v>
      </c>
      <c r="CH36" s="221">
        <f>+CH32/CH39</f>
        <v>1.1945432802326783</v>
      </c>
      <c r="CI36" s="221">
        <f>+CI32/CI39</f>
        <v>1.4451397273182367</v>
      </c>
      <c r="CJ36" s="221">
        <f>+CJ32/CJ39</f>
        <v>1.4451397273182367</v>
      </c>
      <c r="CL36" s="221">
        <f>+CL32/CL39</f>
        <v>5.0104776356673167E-2</v>
      </c>
      <c r="CM36" s="221">
        <f>+CM32/CM39</f>
        <v>0.26800128685072533</v>
      </c>
      <c r="CN36" s="221">
        <f>+CN32/CN39</f>
        <v>0.54713312454544105</v>
      </c>
      <c r="CO36" s="221">
        <f>+CO32/CO39</f>
        <v>0.86428603365277135</v>
      </c>
      <c r="CP36" s="221">
        <f>+CP32/CP39</f>
        <v>0.86428603365277135</v>
      </c>
      <c r="CR36" s="221">
        <f>+CR32/CR39</f>
        <v>9.3412829538107894E-2</v>
      </c>
      <c r="CS36" s="221">
        <f>+CS32/CS39</f>
        <v>0.35025117671613432</v>
      </c>
      <c r="CT36" s="221">
        <f>+CT32/CT39</f>
        <v>0.49201447735041509</v>
      </c>
      <c r="CU36" s="221">
        <f>+CU32/CU39</f>
        <v>0.48335250143760783</v>
      </c>
      <c r="CV36" s="221">
        <f>+CV32/CV39</f>
        <v>0.48335250143760783</v>
      </c>
      <c r="CX36" s="221">
        <f>+CX32/CX38</f>
        <v>1.3924050632911392E-2</v>
      </c>
      <c r="CY36" s="221">
        <f>+CY32/CY38</f>
        <v>5.0463596291229672E-2</v>
      </c>
      <c r="CZ36" s="221">
        <f>+CZ32/CZ38</f>
        <v>0.20000202016123947</v>
      </c>
      <c r="DA36" s="221">
        <f>+DA32/DA38</f>
        <v>0.24386344612275371</v>
      </c>
      <c r="DB36" s="221">
        <f>+DB32/DB38</f>
        <v>0.24386344612275371</v>
      </c>
      <c r="DD36" s="221">
        <f>+DD32/DD38</f>
        <v>-0.23716367224915103</v>
      </c>
      <c r="DE36" s="221">
        <f>+DE32/DE38</f>
        <v>-0.46261073285013543</v>
      </c>
      <c r="DF36" s="221">
        <f>+DF32/DF38</f>
        <v>-0.49686126343335146</v>
      </c>
      <c r="DG36" s="221">
        <f>+DG32/DG38</f>
        <v>-0.54642857142857137</v>
      </c>
      <c r="DH36" s="221">
        <f>+DH32/DH38</f>
        <v>-0.54642857142857137</v>
      </c>
      <c r="DJ36" s="221">
        <f>+DJ32/DJ38</f>
        <v>-5.7178137388704753E-2</v>
      </c>
      <c r="DK36" s="221">
        <f>+DK32/DK38</f>
        <v>-0.19772902456876729</v>
      </c>
      <c r="DL36" s="221">
        <f>+DL32/DL38</f>
        <v>-0.16808107725862378</v>
      </c>
      <c r="DM36" s="221">
        <f>+DM32/DM38</f>
        <v>-0.29258864302852572</v>
      </c>
      <c r="DN36" s="221">
        <f>+DN32/DN38</f>
        <v>-0.29258864302852572</v>
      </c>
      <c r="DP36" s="221">
        <f>+DP32/DP38</f>
        <v>-0.13178767541183647</v>
      </c>
      <c r="DQ36" s="221">
        <f>+DQ32/DQ38</f>
        <v>-0.22315666816543914</v>
      </c>
      <c r="DR36" s="221">
        <f>+DR32/DR38</f>
        <v>-0.23651825379412642</v>
      </c>
      <c r="DS36" s="221">
        <f>+DS32/DS38</f>
        <v>-0.2936329872862557</v>
      </c>
      <c r="DT36" s="221">
        <f>+DT32/DT38</f>
        <v>-0.2936329872862557</v>
      </c>
    </row>
    <row r="37" spans="1:124" ht="12.5" customHeight="1" x14ac:dyDescent="0.25">
      <c r="C37" s="104"/>
      <c r="D37" s="104"/>
      <c r="E37" s="104"/>
      <c r="F37" s="104"/>
      <c r="G37" s="104"/>
      <c r="I37" s="104"/>
      <c r="J37" s="104"/>
      <c r="K37" s="104"/>
      <c r="L37" s="104"/>
      <c r="M37" s="104"/>
      <c r="O37" s="191">
        <f t="shared" si="0"/>
        <v>31</v>
      </c>
      <c r="P37" s="380" t="s">
        <v>316</v>
      </c>
      <c r="Q37" s="362"/>
      <c r="R37" s="362"/>
      <c r="X37" s="167"/>
      <c r="Z37" s="104"/>
      <c r="AA37" s="104"/>
      <c r="AB37" s="104"/>
      <c r="AC37" s="104"/>
      <c r="AD37" s="104"/>
      <c r="AF37" s="104"/>
      <c r="AG37" s="104"/>
      <c r="AH37" s="104"/>
      <c r="AI37" s="104"/>
      <c r="AJ37" s="104"/>
      <c r="AL37" s="104"/>
      <c r="AM37" s="104"/>
      <c r="AN37" s="104"/>
      <c r="AO37" s="104"/>
      <c r="AP37" s="104"/>
      <c r="AR37" s="104"/>
      <c r="AS37" s="104"/>
      <c r="AT37" s="104"/>
      <c r="AU37" s="104"/>
      <c r="AV37" s="104"/>
      <c r="AX37" s="104"/>
      <c r="AY37" s="104"/>
      <c r="AZ37" s="104"/>
      <c r="BA37" s="104"/>
      <c r="BB37" s="104"/>
      <c r="BD37" s="104"/>
      <c r="BE37" s="104"/>
      <c r="BF37" s="104"/>
      <c r="BG37" s="104"/>
      <c r="BH37" s="104"/>
      <c r="BJ37" s="104"/>
      <c r="BK37" s="104"/>
      <c r="BL37" s="104"/>
      <c r="BM37" s="104"/>
      <c r="BN37" s="104"/>
      <c r="BP37" s="104"/>
      <c r="BQ37" s="104"/>
      <c r="BR37" s="104"/>
      <c r="BS37" s="104"/>
      <c r="BT37" s="104"/>
      <c r="BX37" s="167"/>
      <c r="BZ37" s="104"/>
      <c r="CA37" s="104"/>
      <c r="CB37" s="104"/>
      <c r="CC37" s="104"/>
      <c r="CD37" s="104"/>
      <c r="CF37" s="104"/>
      <c r="CG37" s="104"/>
      <c r="CH37" s="104"/>
      <c r="CI37" s="104"/>
      <c r="CJ37" s="104"/>
      <c r="CL37" s="104"/>
      <c r="CM37" s="104"/>
      <c r="CN37" s="104"/>
      <c r="CO37" s="104"/>
      <c r="CP37" s="104"/>
      <c r="CR37" s="104"/>
      <c r="CS37" s="104"/>
      <c r="CT37" s="104"/>
      <c r="CU37" s="104"/>
      <c r="CV37" s="104"/>
      <c r="CX37" s="104"/>
      <c r="CY37" s="104"/>
      <c r="CZ37" s="104"/>
      <c r="DA37" s="104"/>
      <c r="DB37" s="104"/>
      <c r="DD37" s="104"/>
      <c r="DE37" s="104"/>
      <c r="DF37" s="104"/>
      <c r="DG37" s="104"/>
      <c r="DH37" s="104"/>
      <c r="DJ37" s="104"/>
      <c r="DK37" s="104"/>
      <c r="DL37" s="104"/>
      <c r="DM37" s="104"/>
      <c r="DN37" s="104"/>
      <c r="DP37" s="104"/>
      <c r="DQ37" s="104"/>
      <c r="DR37" s="104"/>
      <c r="DS37" s="104"/>
      <c r="DT37" s="104"/>
    </row>
    <row r="38" spans="1:124" ht="12.5" customHeight="1" x14ac:dyDescent="0.25">
      <c r="A38" s="22" t="s">
        <v>198</v>
      </c>
      <c r="C38" s="72">
        <f>HLOOKUP(C$7,$X$7:$BX$49,$O38,FALSE)</f>
        <v>65631000</v>
      </c>
      <c r="E38" s="72">
        <f>HLOOKUP(E$7,$X$7:$BX$49,$O38,FALSE)</f>
        <v>65961000</v>
      </c>
      <c r="G38" s="72">
        <f>HLOOKUP(G$7,$X$7:$BX$49,$O38,FALSE)</f>
        <v>64784000</v>
      </c>
      <c r="I38" s="72">
        <f>HLOOKUP(I$7,$BX$7:$DU$39,$O38,FALSE)</f>
        <v>66182000</v>
      </c>
      <c r="K38" s="72">
        <f>HLOOKUP(K$7,$BX$7:$DU$39,$O38,FALSE)</f>
        <v>66247333</v>
      </c>
      <c r="M38" s="72">
        <f>HLOOKUP(M$7,$BX$7:$DU$39,$O38,FALSE)</f>
        <v>66761000</v>
      </c>
      <c r="O38" s="191">
        <f t="shared" si="0"/>
        <v>32</v>
      </c>
      <c r="P38" s="102"/>
      <c r="Q38" s="102"/>
      <c r="R38" s="102"/>
      <c r="X38" s="172"/>
      <c r="Z38" s="72">
        <f>+'1.Input IS Trend &amp; EPS'!AZ47</f>
        <v>66621000</v>
      </c>
      <c r="AA38" s="72">
        <f>+'1.Input IS Trend &amp; EPS'!BA47</f>
        <v>66294000</v>
      </c>
      <c r="AB38" s="72">
        <f>+'1.Input IS Trend &amp; EPS'!BB47</f>
        <v>65631000</v>
      </c>
      <c r="AC38" s="72">
        <f>+'1.Input IS Trend &amp; EPS'!BC47</f>
        <v>0</v>
      </c>
      <c r="AD38" s="72">
        <f>+'1.Input IS Trend &amp; EPS'!BD47</f>
        <v>66182000</v>
      </c>
      <c r="AF38" s="72">
        <f>+'1.Input IS Trend &amp; EPS'!BF47</f>
        <v>66497000</v>
      </c>
      <c r="AG38" s="72">
        <f>+'1.Input IS Trend &amp; EPS'!BG47</f>
        <v>66284000</v>
      </c>
      <c r="AH38" s="72">
        <f>+'1.Input IS Trend &amp; EPS'!BH47</f>
        <v>65961000</v>
      </c>
      <c r="AI38" s="72">
        <f>+'1.Input IS Trend &amp; EPS'!BI47</f>
        <v>66323000</v>
      </c>
      <c r="AJ38" s="72">
        <f>+'1.Input IS Trend &amp; EPS'!BJ47</f>
        <v>66266000</v>
      </c>
      <c r="AL38" s="72">
        <f>+'1.Input IS Trend &amp; EPS'!BL47</f>
        <v>68403000</v>
      </c>
      <c r="AM38" s="72">
        <f>+'1.Input IS Trend &amp; EPS'!BM47</f>
        <v>67096000</v>
      </c>
      <c r="AN38" s="72">
        <f>+'1.Input IS Trend &amp; EPS'!BN47</f>
        <v>64784000</v>
      </c>
      <c r="AO38" s="72">
        <f>+'1.Input IS Trend &amp; EPS'!BO47</f>
        <v>65126000</v>
      </c>
      <c r="AP38" s="72">
        <f>+'1.Input IS Trend &amp; EPS'!BP47</f>
        <v>66352000</v>
      </c>
      <c r="AR38" s="72">
        <f>+'1.Input IS Trend &amp; EPS'!BR47</f>
        <v>68328000</v>
      </c>
      <c r="AS38" s="72">
        <f>+'1.Input IS Trend &amp; EPS'!BS47</f>
        <v>68042000</v>
      </c>
      <c r="AT38" s="72">
        <f>+'1.Input IS Trend &amp; EPS'!BT47</f>
        <v>68190000</v>
      </c>
      <c r="AU38" s="72">
        <f>+'1.Input IS Trend &amp; EPS'!BU47</f>
        <v>68283000</v>
      </c>
      <c r="AV38" s="72">
        <f>+'1.Input IS Trend &amp; EPS'!BV47</f>
        <v>68211000</v>
      </c>
      <c r="AX38" s="72">
        <f>+'1.Input IS Trend &amp; EPS'!BX47</f>
        <v>65570000</v>
      </c>
      <c r="AY38" s="72">
        <f>+'1.Input IS Trend &amp; EPS'!BY47</f>
        <v>66010000</v>
      </c>
      <c r="AZ38" s="72">
        <f>+'1.Input IS Trend &amp; EPS'!BZ47</f>
        <v>66523000</v>
      </c>
      <c r="BA38" s="72">
        <f>+'1.Input IS Trend &amp; EPS'!CA47</f>
        <v>67111000</v>
      </c>
      <c r="BB38" s="72">
        <f>+'1.Input IS Trend &amp; EPS'!CB47</f>
        <v>66303500</v>
      </c>
      <c r="BD38" s="72">
        <f>+'1.Input IS Trend &amp; EPS'!CD47</f>
        <v>68906000</v>
      </c>
      <c r="BE38" s="72">
        <f>+'1.Input IS Trend &amp; EPS'!CE47</f>
        <v>67684000</v>
      </c>
      <c r="BF38" s="72">
        <f>+'1.Input IS Trend &amp; EPS'!CF47</f>
        <v>67473000</v>
      </c>
      <c r="BG38" s="72">
        <f>+'1.Input IS Trend &amp; EPS'!CG47</f>
        <v>66977000</v>
      </c>
      <c r="BH38" s="72">
        <f>+'1.Input IS Trend &amp; EPS'!CH47</f>
        <v>67760000</v>
      </c>
      <c r="BJ38" s="72">
        <v>76935000</v>
      </c>
      <c r="BK38" s="72">
        <v>77448000</v>
      </c>
      <c r="BL38" s="72">
        <v>77398000</v>
      </c>
      <c r="BM38" s="72">
        <v>68299000</v>
      </c>
      <c r="BN38" s="72">
        <v>75020000</v>
      </c>
      <c r="BP38" s="72">
        <v>78672000</v>
      </c>
      <c r="BQ38" s="72">
        <v>79235000</v>
      </c>
      <c r="BR38" s="72">
        <v>79043000</v>
      </c>
      <c r="BS38" s="72">
        <v>78614000</v>
      </c>
      <c r="BT38" s="72">
        <v>78891000</v>
      </c>
      <c r="BX38" s="167"/>
      <c r="BZ38" s="72">
        <f>+Z38</f>
        <v>66621000</v>
      </c>
      <c r="CA38" s="72">
        <f>IF(AA38=0,0,ROUND(AVERAGE($Z38:AA38),0))</f>
        <v>66457500</v>
      </c>
      <c r="CB38" s="72">
        <f>IF(AB38=0,0,ROUND(AVERAGE($Z38:AB38),0))</f>
        <v>66182000</v>
      </c>
      <c r="CC38" s="72">
        <f>IF(AC38=0,0,ROUND(AVERAGE($Z38:AC38),0))</f>
        <v>0</v>
      </c>
      <c r="CD38" s="226">
        <f>+CC38</f>
        <v>0</v>
      </c>
      <c r="CF38" s="72">
        <f>+AF38</f>
        <v>66497000</v>
      </c>
      <c r="CG38" s="72">
        <f>IF(AG38=0,0,ROUND(AVERAGE($AF38:AG38),0))</f>
        <v>66390500</v>
      </c>
      <c r="CH38" s="72">
        <f>IF(AH38=0,0,ROUND(AVERAGE($AF38:AH38),0))</f>
        <v>66247333</v>
      </c>
      <c r="CI38" s="72">
        <f>IF(AI38=0,0,ROUND(AVERAGE($AF38:AI38),0))</f>
        <v>66266250</v>
      </c>
      <c r="CJ38" s="72">
        <f>+CI38</f>
        <v>66266250</v>
      </c>
      <c r="CL38" s="72">
        <f>+AL38</f>
        <v>68403000</v>
      </c>
      <c r="CM38" s="72">
        <f>IF(AM38=0,0,ROUND(AVERAGE($AL38:AM38),0))</f>
        <v>67749500</v>
      </c>
      <c r="CN38" s="72">
        <f>IF(AN38=0,0,ROUND(AVERAGE($AL38:AN38),0))</f>
        <v>66761000</v>
      </c>
      <c r="CO38" s="72">
        <f>IF(AO38=0,0,ROUND(AVERAGE($AL38:AO38),0))</f>
        <v>66352250</v>
      </c>
      <c r="CP38" s="72">
        <f>+CO38</f>
        <v>66352250</v>
      </c>
      <c r="CR38" s="72">
        <f>+AR38</f>
        <v>68328000</v>
      </c>
      <c r="CS38" s="72">
        <f>IF(AS38=0,0,ROUND(AVERAGE($AR38:AS38),0))</f>
        <v>68185000</v>
      </c>
      <c r="CT38" s="72">
        <f>IF(AT38=0,0,ROUND(AVERAGE($AR38:AT38),0))</f>
        <v>68186667</v>
      </c>
      <c r="CU38" s="72">
        <f>IF(AU38=0,0,ROUND(AVERAGE($AR38:AU38),0))</f>
        <v>68210750</v>
      </c>
      <c r="CV38" s="72">
        <f>+CU38</f>
        <v>68210750</v>
      </c>
      <c r="CX38" s="72">
        <f>+AX38</f>
        <v>65570000</v>
      </c>
      <c r="CY38" s="72">
        <f>IF(AY38=0,0,ROUND(AVERAGE($AX38:AY38),0))</f>
        <v>65790000</v>
      </c>
      <c r="CZ38" s="72">
        <f>IF(AZ38=0,0,ROUND(AVERAGE($AX38:AZ38),0))</f>
        <v>66034333</v>
      </c>
      <c r="DA38" s="72">
        <f>IF(BA38=0,0,ROUND(AVERAGE($AX38:BA38),0))</f>
        <v>66303500</v>
      </c>
      <c r="DB38" s="72">
        <f>+BB38</f>
        <v>66303500</v>
      </c>
      <c r="DD38" s="72">
        <f>+BD38</f>
        <v>68906000</v>
      </c>
      <c r="DE38" s="72">
        <f>IF(BE38=0,0,ROUND(AVERAGE($BD38:BE38),0))</f>
        <v>68295000</v>
      </c>
      <c r="DF38" s="72">
        <f>IF(BF38=0,0,ROUND(AVERAGE($BD38:BF38),0))</f>
        <v>68021000</v>
      </c>
      <c r="DG38" s="72">
        <f>IF(BG38=0,0,ROUND(AVERAGE($BD38:BG38),0))</f>
        <v>67760000</v>
      </c>
      <c r="DH38" s="72">
        <f>+BH38</f>
        <v>67760000</v>
      </c>
      <c r="DJ38" s="72">
        <f>+BJ38</f>
        <v>76935000</v>
      </c>
      <c r="DK38" s="72">
        <f>ROUND(AVERAGE($BJ38:BK38),0)</f>
        <v>77191500</v>
      </c>
      <c r="DL38" s="72">
        <f>ROUND(AVERAGE($BJ38:BL38),0)</f>
        <v>77260333</v>
      </c>
      <c r="DM38" s="72">
        <f>ROUND(AVERAGE($BJ38:BM38),0)</f>
        <v>75020000</v>
      </c>
      <c r="DN38" s="72">
        <f>+BN38</f>
        <v>75020000</v>
      </c>
      <c r="DP38" s="72">
        <f>+BP38</f>
        <v>78672000</v>
      </c>
      <c r="DQ38" s="72">
        <f>ROUND(AVERAGE($BP38:BQ38),0)</f>
        <v>78953500</v>
      </c>
      <c r="DR38" s="72">
        <f>ROUND(AVERAGE($BP38:BR38),0)</f>
        <v>78983333</v>
      </c>
      <c r="DS38" s="72">
        <f>ROUND(AVERAGE($BP38:BS38),0)</f>
        <v>78891000</v>
      </c>
      <c r="DT38" s="72">
        <f>+BT38</f>
        <v>78891000</v>
      </c>
    </row>
    <row r="39" spans="1:124" ht="12.5" customHeight="1" x14ac:dyDescent="0.25">
      <c r="A39" s="22" t="s">
        <v>317</v>
      </c>
      <c r="C39" s="72">
        <f>HLOOKUP(C$7,$X$7:$BX$49,$O39,FALSE)</f>
        <v>66743000</v>
      </c>
      <c r="E39" s="72">
        <f>HLOOKUP(E$7,$X$7:$BX$49,$O39,FALSE)</f>
        <v>67943000</v>
      </c>
      <c r="G39" s="72">
        <f>HLOOKUP(G$7,$X$7:$BX$49,$O39,FALSE)</f>
        <v>65356000</v>
      </c>
      <c r="I39" s="72">
        <f>HLOOKUP(I$7,$BX$7:$DU$39,$O39,FALSE)</f>
        <v>67505000</v>
      </c>
      <c r="K39" s="72">
        <f>HLOOKUP(K$7,$BX$7:$DU$39,$O39,FALSE)</f>
        <v>67733000</v>
      </c>
      <c r="M39" s="72">
        <f>HLOOKUP(M$7,$BX$7:$DU$39,$O39,FALSE)</f>
        <v>67373000</v>
      </c>
      <c r="O39" s="191">
        <f t="shared" si="0"/>
        <v>33</v>
      </c>
      <c r="P39" s="152">
        <f>(+C39-E39)/E39</f>
        <v>-1.7661863620976406E-2</v>
      </c>
      <c r="Q39" s="152">
        <f>(+E39-G39)/G39</f>
        <v>3.9583205826549971E-2</v>
      </c>
      <c r="X39" s="172"/>
      <c r="Z39" s="72">
        <f>+'1.Input IS Trend &amp; EPS'!AZ49</f>
        <v>68463000</v>
      </c>
      <c r="AA39" s="72">
        <f>+'1.Input IS Trend &amp; EPS'!BA49</f>
        <v>67309000</v>
      </c>
      <c r="AB39" s="72">
        <f>+'1.Input IS Trend &amp; EPS'!BB49</f>
        <v>66743000</v>
      </c>
      <c r="AC39" s="72">
        <f>+'1.Input IS Trend &amp; EPS'!BC49</f>
        <v>0</v>
      </c>
      <c r="AD39" s="72">
        <f>+'1.Input IS Trend &amp; EPS'!BD49</f>
        <v>67505000</v>
      </c>
      <c r="AF39" s="72">
        <v>67388000</v>
      </c>
      <c r="AG39" s="72">
        <v>67868000</v>
      </c>
      <c r="AH39" s="72">
        <v>67943000</v>
      </c>
      <c r="AI39" s="72">
        <v>68471000</v>
      </c>
      <c r="AJ39" s="72">
        <v>67918000</v>
      </c>
      <c r="AL39" s="72">
        <v>69195000</v>
      </c>
      <c r="AM39" s="72">
        <v>67568000</v>
      </c>
      <c r="AN39" s="72">
        <v>65356000</v>
      </c>
      <c r="AO39" s="72">
        <v>66268000</v>
      </c>
      <c r="AP39" s="72">
        <v>67097000</v>
      </c>
      <c r="AR39" s="72">
        <v>69605000</v>
      </c>
      <c r="AS39" s="72">
        <v>69333000</v>
      </c>
      <c r="AT39" s="72">
        <v>69938000</v>
      </c>
      <c r="AU39" s="72">
        <f>IF(AU32&lt;0,+AU38,"REVIEW")</f>
        <v>68283000</v>
      </c>
      <c r="AV39" s="72">
        <v>69560000</v>
      </c>
      <c r="AX39" s="72">
        <v>67337000</v>
      </c>
      <c r="AY39" s="72">
        <v>68804000</v>
      </c>
      <c r="AZ39" s="72">
        <v>69775000</v>
      </c>
      <c r="BA39" s="72">
        <v>69935000</v>
      </c>
      <c r="BB39" s="72">
        <v>68963000</v>
      </c>
      <c r="BD39" s="72">
        <f>IF(BD32&lt;0,+BD38,"REVIEW")</f>
        <v>68906000</v>
      </c>
      <c r="BE39" s="72">
        <f>IF(BE32&lt;0,+BE38,"REVIEW")</f>
        <v>67684000</v>
      </c>
      <c r="BF39" s="72">
        <f>IF(BF32&lt;0,+BF38,"REVIEW")</f>
        <v>67473000</v>
      </c>
      <c r="BG39" s="72">
        <f>IF(BG32&lt;0,+BG38,"REVIEW")</f>
        <v>66977000</v>
      </c>
      <c r="BH39" s="72">
        <f>IF(BH32&lt;0,+BH38,"REVIEW")</f>
        <v>67760000</v>
      </c>
      <c r="BJ39" s="72">
        <v>76935000</v>
      </c>
      <c r="BK39" s="72">
        <v>77448000</v>
      </c>
      <c r="BL39" s="72">
        <v>80674000</v>
      </c>
      <c r="BM39" s="72">
        <v>68299000</v>
      </c>
      <c r="BN39" s="72">
        <v>75020000</v>
      </c>
      <c r="BP39" s="72">
        <v>78672000</v>
      </c>
      <c r="BQ39" s="72">
        <v>79235000</v>
      </c>
      <c r="BR39" s="72">
        <v>79043000</v>
      </c>
      <c r="BS39" s="72">
        <v>78614000</v>
      </c>
      <c r="BT39" s="72">
        <v>78891000</v>
      </c>
      <c r="BX39" s="167"/>
      <c r="BZ39" s="72">
        <f>+Z39</f>
        <v>68463000</v>
      </c>
      <c r="CA39" s="72">
        <f>IF(AA39=0,0,ROUND(AVERAGE($Z39:AA39),0))</f>
        <v>67886000</v>
      </c>
      <c r="CB39" s="72">
        <f>IF(AB39=0,0,ROUND(AVERAGE($Z39:AB39),0))</f>
        <v>67505000</v>
      </c>
      <c r="CC39" s="72">
        <f>IF(AC39=0,0,ROUND(AVERAGE($Z39:AC39),0))</f>
        <v>0</v>
      </c>
      <c r="CD39" s="226">
        <f>+CC39</f>
        <v>0</v>
      </c>
      <c r="CF39" s="72">
        <v>67388000</v>
      </c>
      <c r="CG39" s="72">
        <v>67628000</v>
      </c>
      <c r="CH39" s="72">
        <v>67733000</v>
      </c>
      <c r="CI39" s="72">
        <v>67918000</v>
      </c>
      <c r="CJ39" s="72">
        <f>+CI39</f>
        <v>67918000</v>
      </c>
      <c r="CL39" s="72">
        <v>69195000</v>
      </c>
      <c r="CM39" s="72">
        <v>68384000</v>
      </c>
      <c r="CN39" s="72">
        <v>67373000</v>
      </c>
      <c r="CO39" s="72">
        <v>67097000</v>
      </c>
      <c r="CP39" s="72">
        <f>+CO39</f>
        <v>67097000</v>
      </c>
      <c r="CR39" s="72">
        <f>IF(CR38=0,0,+AR39)</f>
        <v>69605000</v>
      </c>
      <c r="CS39" s="72">
        <v>69473000</v>
      </c>
      <c r="CT39" s="72">
        <v>69626000</v>
      </c>
      <c r="CU39" s="72">
        <v>69560000</v>
      </c>
      <c r="CV39" s="72">
        <f>+CU39</f>
        <v>69560000</v>
      </c>
      <c r="CX39" s="72">
        <f>IF(CX38=0,0,+AX39)</f>
        <v>67337000</v>
      </c>
      <c r="CY39" s="72">
        <f>IF(CY38=0,0,ROUND(AVERAGE($AX39:AY39),0))</f>
        <v>68070500</v>
      </c>
      <c r="CZ39" s="72">
        <f>IF(CZ38=0,0,ROUND(AVERAGE($AX39:AZ39),0))</f>
        <v>68638667</v>
      </c>
      <c r="DA39" s="72">
        <v>68963000</v>
      </c>
      <c r="DB39" s="72">
        <f>+BB39</f>
        <v>68963000</v>
      </c>
      <c r="DD39" s="72">
        <f>IF(DD38=0,0,+BD39)</f>
        <v>68906000</v>
      </c>
      <c r="DE39" s="72">
        <f>IF(DE38=0,0,ROUND(AVERAGE($BD39:BE39),0))</f>
        <v>68295000</v>
      </c>
      <c r="DF39" s="72">
        <f>IF(DF38=0,0,ROUND(AVERAGE($BD39:BF39),0))</f>
        <v>68021000</v>
      </c>
      <c r="DG39" s="72">
        <f>IF(DG38=0,0,ROUND(AVERAGE($BD39:BG39),0))</f>
        <v>67760000</v>
      </c>
      <c r="DH39" s="72">
        <f>+BH39</f>
        <v>67760000</v>
      </c>
      <c r="DJ39" s="72">
        <f>+DJ38</f>
        <v>76935000</v>
      </c>
      <c r="DK39" s="72">
        <f>+DK38</f>
        <v>77191500</v>
      </c>
      <c r="DL39" s="72">
        <f>+DL38</f>
        <v>77260333</v>
      </c>
      <c r="DM39" s="72">
        <f>+DM38</f>
        <v>75020000</v>
      </c>
      <c r="DN39" s="72">
        <f>+BN39</f>
        <v>75020000</v>
      </c>
      <c r="DP39" s="72">
        <f>+BP39</f>
        <v>78672000</v>
      </c>
      <c r="DQ39" s="72">
        <f>ROUND(AVERAGE($BP39:BQ39),0)</f>
        <v>78953500</v>
      </c>
      <c r="DR39" s="72">
        <f>ROUND(AVERAGE($BP39:BR39),0)</f>
        <v>78983333</v>
      </c>
      <c r="DS39" s="72">
        <f>ROUND(AVERAGE($BP39:BS39),0)</f>
        <v>78891000</v>
      </c>
      <c r="DT39" s="72">
        <f>+BT39</f>
        <v>78891000</v>
      </c>
    </row>
    <row r="40" spans="1:124" ht="12.5" customHeight="1" x14ac:dyDescent="0.25">
      <c r="A40" s="125" t="s">
        <v>318</v>
      </c>
      <c r="C40" s="152">
        <f>+C31/C30</f>
        <v>0.251942151274822</v>
      </c>
      <c r="E40" s="152">
        <f>+E31/E30</f>
        <v>0.2496510654136038</v>
      </c>
      <c r="G40" s="152">
        <f>+G31/G30</f>
        <v>0.25868895732512098</v>
      </c>
      <c r="I40" s="152">
        <f>+I31/I30</f>
        <v>0.2434565617749998</v>
      </c>
      <c r="K40" s="152">
        <f>+K31/K30</f>
        <v>0.24273480275164958</v>
      </c>
      <c r="M40" s="152">
        <f>+M31/M30</f>
        <v>0.24961322367885352</v>
      </c>
      <c r="O40" s="191">
        <f t="shared" si="0"/>
        <v>34</v>
      </c>
      <c r="X40" s="167"/>
      <c r="BX40" s="167"/>
    </row>
    <row r="41" spans="1:124" ht="12.5" customHeight="1" x14ac:dyDescent="0.25">
      <c r="O41" s="191">
        <f t="shared" si="0"/>
        <v>35</v>
      </c>
      <c r="X41" s="167"/>
      <c r="BX41" s="167"/>
    </row>
    <row r="42" spans="1:124" ht="12.5" customHeight="1" x14ac:dyDescent="0.25">
      <c r="A42" s="22" t="s">
        <v>319</v>
      </c>
      <c r="O42" s="191">
        <f t="shared" si="0"/>
        <v>36</v>
      </c>
      <c r="X42" s="167"/>
      <c r="BX42" s="167"/>
    </row>
    <row r="43" spans="1:124" ht="12.5" customHeight="1" x14ac:dyDescent="0.25">
      <c r="O43" s="191">
        <f t="shared" si="0"/>
        <v>37</v>
      </c>
      <c r="X43" s="167"/>
      <c r="BX43" s="167"/>
    </row>
    <row r="44" spans="1:124" ht="12.5" customHeight="1" x14ac:dyDescent="0.25">
      <c r="A44" s="227" t="s">
        <v>320</v>
      </c>
      <c r="O44" s="191">
        <f t="shared" si="0"/>
        <v>38</v>
      </c>
      <c r="P44" s="380" t="s">
        <v>316</v>
      </c>
      <c r="Q44" s="362"/>
      <c r="R44" s="362"/>
      <c r="X44" s="167"/>
      <c r="BX44" s="167"/>
    </row>
    <row r="45" spans="1:124" ht="12.5" customHeight="1" x14ac:dyDescent="0.25">
      <c r="A45" s="228" t="s">
        <v>321</v>
      </c>
      <c r="C45" s="72">
        <f>+'1.Input IS Trend &amp; EPS'!E22</f>
        <v>14673000</v>
      </c>
      <c r="E45" s="72">
        <f>+'1.Input IS Trend &amp; EPS'!G22</f>
        <v>15201000</v>
      </c>
      <c r="G45" s="72">
        <f>+'1.Input IS Trend &amp; EPS'!I22</f>
        <v>-23949000</v>
      </c>
      <c r="I45" s="72">
        <f>+'1.Input IS Trend &amp; EPS'!K22</f>
        <v>16912000</v>
      </c>
      <c r="K45" s="72">
        <f>+'1.Input IS Trend &amp; EPS'!M22</f>
        <v>25679000</v>
      </c>
      <c r="M45" s="72">
        <f>+'1.Input IS Trend &amp; EPS'!O22</f>
        <v>-78673000</v>
      </c>
      <c r="O45" s="191">
        <f t="shared" si="0"/>
        <v>39</v>
      </c>
      <c r="P45" s="102"/>
      <c r="Q45" s="102"/>
      <c r="R45" s="102"/>
      <c r="X45" s="167"/>
      <c r="BX45" s="167"/>
    </row>
    <row r="46" spans="1:124" ht="12.5" customHeight="1" x14ac:dyDescent="0.25">
      <c r="A46" s="229" t="s">
        <v>291</v>
      </c>
      <c r="C46" s="75">
        <f>+C28</f>
        <v>30595000</v>
      </c>
      <c r="E46" s="75">
        <f>+E28</f>
        <v>21180000</v>
      </c>
      <c r="G46" s="75">
        <f>+G28</f>
        <v>49688000</v>
      </c>
      <c r="I46" s="75">
        <f>+I28</f>
        <v>95845000</v>
      </c>
      <c r="K46" s="75">
        <f>+K28</f>
        <v>63279000</v>
      </c>
      <c r="M46" s="75">
        <f>+M28</f>
        <v>125586000</v>
      </c>
      <c r="O46" s="191">
        <f t="shared" si="0"/>
        <v>40</v>
      </c>
      <c r="X46" s="167"/>
      <c r="BX46" s="167"/>
    </row>
    <row r="47" spans="1:124" ht="12.5" customHeight="1" x14ac:dyDescent="0.25">
      <c r="A47" s="230" t="s">
        <v>322</v>
      </c>
      <c r="C47" s="78">
        <f>SUM(C45:C46)</f>
        <v>45268000</v>
      </c>
      <c r="E47" s="78">
        <f>SUM(E45:E46)</f>
        <v>36381000</v>
      </c>
      <c r="G47" s="78">
        <f>SUM(G45:G46)</f>
        <v>25739000</v>
      </c>
      <c r="I47" s="78">
        <f>SUM(I45:I46)</f>
        <v>112757000</v>
      </c>
      <c r="K47" s="78">
        <f>SUM(K45:K46)</f>
        <v>88958000</v>
      </c>
      <c r="M47" s="78">
        <f>SUM(M45:M46)</f>
        <v>46913000</v>
      </c>
      <c r="O47" s="191">
        <f t="shared" si="0"/>
        <v>41</v>
      </c>
      <c r="X47" s="167"/>
      <c r="BX47" s="167"/>
    </row>
    <row r="48" spans="1:124" ht="12.5" customHeight="1" x14ac:dyDescent="0.25">
      <c r="A48" s="125" t="s">
        <v>323</v>
      </c>
      <c r="C48" s="231">
        <f>+C47/'1.Input IS Trend &amp; EPS'!E9</f>
        <v>0.23165414611180479</v>
      </c>
      <c r="D48" s="102"/>
      <c r="E48" s="231">
        <f>+E47/'1.Input IS Trend &amp; EPS'!G9</f>
        <v>0.20924374097740253</v>
      </c>
      <c r="F48" s="102"/>
      <c r="G48" s="231">
        <f>+G47/'1.Input IS Trend &amp; EPS'!I9</f>
        <v>0.16227342937301012</v>
      </c>
      <c r="H48" s="102"/>
      <c r="I48" s="231">
        <f>+I47/'1.Input IS Trend &amp; EPS'!K9</f>
        <v>0.20248861465082535</v>
      </c>
      <c r="J48" s="102"/>
      <c r="K48" s="231">
        <f>+K47/'1.Input IS Trend &amp; EPS'!M9</f>
        <v>0.18236235903806614</v>
      </c>
      <c r="L48" s="102"/>
      <c r="M48" s="231">
        <f>+M47/'1.Input IS Trend &amp; EPS'!O9</f>
        <v>0.10472656973772036</v>
      </c>
      <c r="O48" s="232">
        <f t="shared" si="0"/>
        <v>42</v>
      </c>
      <c r="P48" s="135">
        <f>(+C48-E48)</f>
        <v>2.2410405134402261E-2</v>
      </c>
      <c r="Q48" s="135">
        <f>(+E48-G48)</f>
        <v>4.6970311604392412E-2</v>
      </c>
      <c r="R48" s="46"/>
      <c r="X48" s="167"/>
      <c r="BX48" s="167"/>
    </row>
    <row r="49" spans="1:124" ht="12.5" customHeight="1" x14ac:dyDescent="0.25">
      <c r="P49" s="137" t="str">
        <f>IF(P48&lt;=-0.015,"pts",IF(P48&gt;=0.015,"pts","pt"))</f>
        <v>pts</v>
      </c>
      <c r="Q49" s="137" t="str">
        <f>IF(Q48&lt;=-0.015,"pts",IF(Q48&gt;=0.015,"pts","pt"))</f>
        <v>pts</v>
      </c>
      <c r="R49" s="46"/>
      <c r="X49" s="167"/>
      <c r="BX49" s="167"/>
    </row>
    <row r="50" spans="1:124" ht="12.5" customHeight="1" x14ac:dyDescent="0.25">
      <c r="A50" s="233" t="s">
        <v>324</v>
      </c>
      <c r="P50" s="138" t="str">
        <f>ROUND(+P48*100,0)&amp;" "&amp;P49</f>
        <v>2 pts</v>
      </c>
      <c r="Q50" s="138" t="str">
        <f>ROUND(+Q48*100,0)&amp;" "&amp;Q49</f>
        <v>5 pts</v>
      </c>
      <c r="R50" s="244"/>
      <c r="X50" s="167"/>
      <c r="AX50" s="234" t="s">
        <v>325</v>
      </c>
      <c r="AY50" s="234" t="s">
        <v>325</v>
      </c>
      <c r="AZ50" s="234" t="s">
        <v>325</v>
      </c>
      <c r="BA50" s="234" t="s">
        <v>326</v>
      </c>
      <c r="BB50" s="234" t="s">
        <v>326</v>
      </c>
      <c r="BD50" s="234" t="s">
        <v>325</v>
      </c>
      <c r="BE50" s="234" t="s">
        <v>325</v>
      </c>
      <c r="BF50" s="234" t="s">
        <v>325</v>
      </c>
      <c r="BG50" s="234" t="s">
        <v>326</v>
      </c>
      <c r="BH50" s="234" t="s">
        <v>326</v>
      </c>
      <c r="BJ50" s="161" t="s">
        <v>325</v>
      </c>
      <c r="BK50" s="234" t="s">
        <v>325</v>
      </c>
      <c r="BL50" s="234" t="s">
        <v>325</v>
      </c>
      <c r="BM50" s="234" t="s">
        <v>325</v>
      </c>
      <c r="BN50" s="234" t="s">
        <v>325</v>
      </c>
      <c r="BP50" s="161" t="s">
        <v>325</v>
      </c>
      <c r="BQ50" s="161" t="s">
        <v>325</v>
      </c>
      <c r="BR50" s="161" t="s">
        <v>325</v>
      </c>
      <c r="BS50" s="161" t="s">
        <v>325</v>
      </c>
      <c r="BT50" s="161" t="s">
        <v>325</v>
      </c>
      <c r="BX50" s="245"/>
    </row>
    <row r="51" spans="1:124" ht="12.5" customHeight="1" x14ac:dyDescent="0.25">
      <c r="A51" s="163" t="s">
        <v>327</v>
      </c>
      <c r="C51" s="235">
        <f>+'1.Input IS Trend &amp; EPS'!E34</f>
        <v>11210000</v>
      </c>
      <c r="E51" s="235">
        <f>+'1.Input IS Trend &amp; EPS'!G34</f>
        <v>13977000</v>
      </c>
      <c r="G51" s="235">
        <f>+'1.Input IS Trend &amp; EPS'!I34</f>
        <v>-29684000</v>
      </c>
      <c r="I51" s="235">
        <f>+'1.Input IS Trend &amp; EPS'!K34</f>
        <v>5453000</v>
      </c>
      <c r="K51" s="235">
        <f>+'1.Input IS Trend &amp; EPS'!M34</f>
        <v>17254000</v>
      </c>
      <c r="M51" s="235">
        <f>+'1.Input IS Trend &amp; EPS'!O34</f>
        <v>-87338000</v>
      </c>
      <c r="P51" s="102"/>
      <c r="Q51" s="102"/>
      <c r="X51" s="167"/>
      <c r="Z51" s="88">
        <f>+'1.Input IS Trend &amp; EPS'!AZ34</f>
        <v>-7489000</v>
      </c>
      <c r="AA51" s="88">
        <f>+'1.Input IS Trend &amp; EPS'!BA34</f>
        <v>1732000</v>
      </c>
      <c r="AB51" s="88">
        <f>+'1.Input IS Trend &amp; EPS'!BB34</f>
        <v>11210000</v>
      </c>
      <c r="AC51" s="88">
        <f>+'1.Input IS Trend &amp; EPS'!BC34</f>
        <v>0</v>
      </c>
      <c r="AD51" s="88">
        <f>+'1.Input IS Trend &amp; EPS'!BD34</f>
        <v>5453000</v>
      </c>
      <c r="AF51" s="88">
        <f>+'1.Input IS Trend &amp; EPS'!BF34</f>
        <v>-1586000</v>
      </c>
      <c r="AG51" s="88">
        <f>+'1.Input IS Trend &amp; EPS'!BG34</f>
        <v>4863000</v>
      </c>
      <c r="AH51" s="88">
        <f>+'1.Input IS Trend &amp; EPS'!BH34</f>
        <v>13977000</v>
      </c>
      <c r="AI51" s="88">
        <f>+'1.Input IS Trend &amp; EPS'!BI34</f>
        <v>-5373000</v>
      </c>
      <c r="AJ51" s="88">
        <f>+'1.Input IS Trend &amp; EPS'!BJ34</f>
        <v>11881000</v>
      </c>
      <c r="AL51" s="88">
        <f>+'1.Input IS Trend &amp; EPS'!BL34</f>
        <v>-27218000</v>
      </c>
      <c r="AM51" s="88">
        <f>+'1.Input IS Trend &amp; EPS'!BM34</f>
        <v>-30436000</v>
      </c>
      <c r="AN51" s="88">
        <f>+'1.Input IS Trend &amp; EPS'!BN34</f>
        <v>-29684000</v>
      </c>
      <c r="AO51" s="88">
        <f>+'1.Input IS Trend &amp; EPS'!BO34</f>
        <v>-31364000</v>
      </c>
      <c r="AP51" s="88">
        <f>+'1.Input IS Trend &amp; EPS'!BP34</f>
        <v>-118702000</v>
      </c>
      <c r="AR51" s="88">
        <f>+'1.Input IS Trend &amp; EPS'!BR34</f>
        <v>17365000</v>
      </c>
      <c r="AS51" s="88">
        <f>+'1.Input IS Trend &amp; EPS'!BS34</f>
        <v>-6431000</v>
      </c>
      <c r="AT51" s="88">
        <f>+'1.Input IS Trend &amp; EPS'!BT34</f>
        <v>-15375000</v>
      </c>
      <c r="AU51" s="88">
        <f>+'1.Input IS Trend &amp; EPS'!BU34</f>
        <v>-29392000</v>
      </c>
      <c r="AV51" s="88">
        <f>+'1.Input IS Trend &amp; EPS'!BV34</f>
        <v>-33833000</v>
      </c>
      <c r="AX51" s="88">
        <f>+'1.Input IS Trend &amp; EPS'!BX34</f>
        <v>-21728000</v>
      </c>
      <c r="AY51" s="88">
        <f>+'1.Input IS Trend &amp; EPS'!BY34</f>
        <v>-23968000</v>
      </c>
      <c r="AZ51" s="88">
        <f>+'1.Input IS Trend &amp; EPS'!BZ34</f>
        <v>-11725000</v>
      </c>
      <c r="BA51" s="88">
        <f>+'1.Input IS Trend &amp; EPS'!CA34</f>
        <v>-32847000</v>
      </c>
      <c r="BB51" s="88">
        <f>+'1.Input IS Trend &amp; EPS'!CB34</f>
        <v>-90268000</v>
      </c>
      <c r="BD51" s="88">
        <f>+'1.Input IS Trend &amp; EPS'!CD34</f>
        <v>-42140000</v>
      </c>
      <c r="BE51" s="88">
        <f>+'1.Input IS Trend &amp; EPS'!CE34</f>
        <v>-40202000</v>
      </c>
      <c r="BF51" s="88">
        <f>+'1.Input IS Trend &amp; EPS'!CF34</f>
        <v>-38040000</v>
      </c>
      <c r="BG51" s="88">
        <f>+'1.Input IS Trend &amp; EPS'!CG34</f>
        <v>-4129000</v>
      </c>
      <c r="BH51" s="88">
        <f>+'1.Input IS Trend &amp; EPS'!CH34</f>
        <v>-124511000</v>
      </c>
      <c r="BJ51" s="88">
        <f>+'1.Input IS Trend &amp; EPS'!CJ34</f>
        <v>-3015000</v>
      </c>
      <c r="BK51" s="88">
        <f>+'1.Input IS Trend &amp; EPS'!CK34</f>
        <v>20623000</v>
      </c>
      <c r="BL51" s="88">
        <f>+'1.Input IS Trend &amp; EPS'!CL34</f>
        <v>1056400000</v>
      </c>
      <c r="BM51" s="88">
        <f>+'1.Input IS Trend &amp; EPS'!CM34</f>
        <v>-45461000</v>
      </c>
      <c r="BN51" s="88">
        <f>+'1.Input IS Trend &amp; EPS'!CN34</f>
        <v>1028547000</v>
      </c>
      <c r="BP51" s="88">
        <f>+'1.Input IS Trend &amp; EPS'!CP34</f>
        <v>-1300000</v>
      </c>
      <c r="BQ51" s="88">
        <f>+'1.Input IS Trend &amp; EPS'!CQ34</f>
        <v>-3336000</v>
      </c>
      <c r="BR51" s="88">
        <f>+'1.Input IS Trend &amp; EPS'!CR34</f>
        <v>22941000</v>
      </c>
      <c r="BS51" s="88">
        <f>+'1.Input IS Trend &amp; EPS'!CS34</f>
        <v>5175000</v>
      </c>
      <c r="BT51" s="88">
        <f>+'1.Input IS Trend &amp; EPS'!CT34</f>
        <v>23480000</v>
      </c>
      <c r="BX51" s="167"/>
      <c r="BZ51" s="88">
        <f>+'1.Input IS Trend &amp; EPS'!CZ34</f>
        <v>-7489000</v>
      </c>
      <c r="CA51" s="88">
        <f>+'1.Input IS Trend &amp; EPS'!DA34</f>
        <v>-5757000</v>
      </c>
      <c r="CB51" s="88">
        <f>+'1.Input IS Trend &amp; EPS'!DB34</f>
        <v>5453000</v>
      </c>
      <c r="CC51" s="88">
        <f>+'1.Input IS Trend &amp; EPS'!DC34</f>
        <v>5453000</v>
      </c>
      <c r="CD51" s="88">
        <f>+'1.Input IS Trend &amp; EPS'!DD34</f>
        <v>5453000</v>
      </c>
      <c r="CF51" s="88">
        <f>+'1.Input IS Trend &amp; EPS'!DF34</f>
        <v>-1586000</v>
      </c>
      <c r="CG51" s="88">
        <f>+'1.Input IS Trend &amp; EPS'!DG34</f>
        <v>3277000</v>
      </c>
      <c r="CH51" s="88">
        <f>+'1.Input IS Trend &amp; EPS'!DH34</f>
        <v>17254000</v>
      </c>
      <c r="CI51" s="88">
        <f>+'1.Input IS Trend &amp; EPS'!DI34</f>
        <v>11881000</v>
      </c>
      <c r="CJ51" s="88">
        <f>+'1.Input IS Trend &amp; EPS'!DJ34</f>
        <v>11881000</v>
      </c>
      <c r="CK51" s="88">
        <f>+'1.Input IS Trend &amp; EPS'!DK34</f>
        <v>0</v>
      </c>
      <c r="CL51" s="88">
        <f>+'1.Input IS Trend &amp; EPS'!DL34</f>
        <v>-27218000</v>
      </c>
      <c r="CM51" s="88">
        <f>+'1.Input IS Trend &amp; EPS'!DM34</f>
        <v>-57654000</v>
      </c>
      <c r="CN51" s="88">
        <f>+'1.Input IS Trend &amp; EPS'!DN34</f>
        <v>-87338000</v>
      </c>
      <c r="CO51" s="88">
        <f>+'1.Input IS Trend &amp; EPS'!DO34</f>
        <v>-118702000</v>
      </c>
      <c r="CP51" s="88">
        <f>+'1.Input IS Trend &amp; EPS'!DP34</f>
        <v>-118702000</v>
      </c>
      <c r="CQ51" s="88">
        <f>+'1.Input IS Trend &amp; EPS'!DQ34</f>
        <v>0</v>
      </c>
      <c r="CR51" s="88">
        <f>+'1.Input IS Trend &amp; EPS'!DR34</f>
        <v>17365000</v>
      </c>
      <c r="CS51" s="88">
        <f>+'1.Input IS Trend &amp; EPS'!DS34</f>
        <v>10934000</v>
      </c>
      <c r="CT51" s="88">
        <f>+'1.Input IS Trend &amp; EPS'!DT34</f>
        <v>-4441000</v>
      </c>
      <c r="CU51" s="88">
        <f>+'1.Input IS Trend &amp; EPS'!DU34</f>
        <v>-33833000</v>
      </c>
      <c r="CV51" s="88">
        <f>+'1.Input IS Trend &amp; EPS'!DV34</f>
        <v>-33833000</v>
      </c>
      <c r="CX51" s="88">
        <f>+'1.Input IS Trend &amp; EPS'!DX34</f>
        <v>-21728000</v>
      </c>
      <c r="CY51" s="88">
        <f>+'1.Input IS Trend &amp; EPS'!DY34</f>
        <v>-45696000</v>
      </c>
      <c r="CZ51" s="88">
        <f>+'1.Input IS Trend &amp; EPS'!DZ34</f>
        <v>-57421000</v>
      </c>
      <c r="DA51" s="88">
        <f>+'1.Input IS Trend &amp; EPS'!EA34</f>
        <v>-90268000</v>
      </c>
      <c r="DB51" s="88">
        <f>+'1.Input IS Trend &amp; EPS'!EB34</f>
        <v>-90268000</v>
      </c>
      <c r="DD51" s="88">
        <f>+'1.Input IS Trend &amp; EPS'!ED34</f>
        <v>-42140000</v>
      </c>
      <c r="DE51" s="88">
        <f>+'1.Input IS Trend &amp; EPS'!EE34</f>
        <v>-82342000</v>
      </c>
      <c r="DF51" s="88">
        <f>+'1.Input IS Trend &amp; EPS'!EF34</f>
        <v>-120382000</v>
      </c>
      <c r="DG51" s="88">
        <f>+'1.Input IS Trend &amp; EPS'!EG34</f>
        <v>-124511000</v>
      </c>
      <c r="DH51" s="88">
        <f>+'1.Input IS Trend &amp; EPS'!EH34</f>
        <v>-124511000</v>
      </c>
      <c r="DJ51" s="88">
        <f>+'1.Input IS Trend &amp; EPS'!EJ34</f>
        <v>-3015000</v>
      </c>
      <c r="DK51" s="88">
        <f>+'1.Input IS Trend &amp; EPS'!EK34</f>
        <v>17608000</v>
      </c>
      <c r="DL51" s="88">
        <f>+'1.Input IS Trend &amp; EPS'!EL34</f>
        <v>1074008000</v>
      </c>
      <c r="DM51" s="88">
        <f>+'1.Input IS Trend &amp; EPS'!EM34</f>
        <v>1028547000</v>
      </c>
      <c r="DN51" s="88">
        <f>+'1.Input IS Trend &amp; EPS'!EN34</f>
        <v>1028547000</v>
      </c>
      <c r="DP51" s="88">
        <f>+'1.Input IS Trend &amp; EPS'!EP34</f>
        <v>-1300000</v>
      </c>
      <c r="DQ51" s="88">
        <f>+'1.Input IS Trend &amp; EPS'!EQ34</f>
        <v>-4636000</v>
      </c>
      <c r="DR51" s="88">
        <f>+'1.Input IS Trend &amp; EPS'!ER34</f>
        <v>18305000</v>
      </c>
      <c r="DS51" s="88">
        <f>+'1.Input IS Trend &amp; EPS'!ES34</f>
        <v>23480000</v>
      </c>
      <c r="DT51" s="88">
        <f>+'1.Input IS Trend &amp; EPS'!ET34</f>
        <v>23480000</v>
      </c>
    </row>
    <row r="52" spans="1:124" ht="12.5" customHeight="1" x14ac:dyDescent="0.25">
      <c r="A52" s="164" t="s">
        <v>130</v>
      </c>
      <c r="C52" s="236">
        <f>+C51-C19</f>
        <v>11209999.832042312</v>
      </c>
      <c r="E52" s="236">
        <f>+'1.Input IS Trend &amp; EPS'!G35</f>
        <v>0</v>
      </c>
      <c r="G52" s="236">
        <f>+'1.Input IS Trend &amp; EPS'!I35</f>
        <v>0</v>
      </c>
      <c r="I52" s="236">
        <f>+'1.Input IS Trend &amp; EPS'!K35</f>
        <v>0</v>
      </c>
      <c r="K52" s="236">
        <f>+'1.Input IS Trend &amp; EPS'!M35</f>
        <v>0</v>
      </c>
      <c r="M52" s="236">
        <f>+'1.Input IS Trend &amp; EPS'!O35</f>
        <v>0</v>
      </c>
      <c r="X52" s="246"/>
      <c r="Z52" s="237">
        <f>(+Z51)-Z15</f>
        <v>0</v>
      </c>
      <c r="AA52" s="237">
        <f>(+AA51)-AA15</f>
        <v>0</v>
      </c>
      <c r="AB52" s="237">
        <f>(+AB51)-AB15</f>
        <v>0</v>
      </c>
      <c r="AC52" s="237">
        <f>(+AC51)-AC15</f>
        <v>0</v>
      </c>
      <c r="AD52" s="237">
        <f>(+AD51)-AD15</f>
        <v>0</v>
      </c>
      <c r="AF52" s="237">
        <f>(+AF51)-AF15</f>
        <v>0</v>
      </c>
      <c r="AG52" s="237">
        <f>(+AG51)-AG15</f>
        <v>0</v>
      </c>
      <c r="AH52" s="237">
        <f>(+AH51)-AH15</f>
        <v>0</v>
      </c>
      <c r="AI52" s="237">
        <f>(+AI51)-AI15</f>
        <v>0</v>
      </c>
      <c r="AJ52" s="237">
        <f>(+AJ51)-AJ15</f>
        <v>0</v>
      </c>
      <c r="AL52" s="237">
        <f>(+AL51)-AL15</f>
        <v>0</v>
      </c>
      <c r="AM52" s="237">
        <f>(+AM51)-AM15</f>
        <v>0</v>
      </c>
      <c r="AN52" s="237">
        <f>(+AN51)-AN15</f>
        <v>0</v>
      </c>
      <c r="AO52" s="237">
        <f>(+AO51)-AO15</f>
        <v>0</v>
      </c>
      <c r="AP52" s="237">
        <f>(+AP51)-AP15</f>
        <v>0</v>
      </c>
      <c r="AR52" s="237">
        <f>(+AR51)-AR15</f>
        <v>0</v>
      </c>
      <c r="AS52" s="237">
        <f>(+AS51)-AS15</f>
        <v>0</v>
      </c>
      <c r="AT52" s="237">
        <f>(+AT51)-AT15</f>
        <v>0</v>
      </c>
      <c r="AU52" s="237">
        <f>(+AU51)-AU15</f>
        <v>0</v>
      </c>
      <c r="AV52" s="237">
        <f>(+AV51)-AV15</f>
        <v>0</v>
      </c>
      <c r="AX52" s="237">
        <f>(+AX51)-AX15</f>
        <v>0</v>
      </c>
      <c r="AY52" s="237">
        <f>(+AY51)-AY15</f>
        <v>0</v>
      </c>
      <c r="AZ52" s="237">
        <f>(+AZ51)-AZ15</f>
        <v>0</v>
      </c>
      <c r="BA52" s="237">
        <f>(+BA51)-BA15</f>
        <v>0</v>
      </c>
      <c r="BB52" s="237">
        <f>(+BB51)-BB15</f>
        <v>0</v>
      </c>
      <c r="BD52" s="237">
        <f>(+BD51)-BD15</f>
        <v>0</v>
      </c>
      <c r="BE52" s="237">
        <f>(+BE51)-BE15</f>
        <v>0</v>
      </c>
      <c r="BF52" s="237">
        <f>(+BF51)-BF15</f>
        <v>0</v>
      </c>
      <c r="BG52" s="237">
        <f>(+BG51)-BG15</f>
        <v>0</v>
      </c>
      <c r="BH52" s="237">
        <f>(+BH51)-BH15</f>
        <v>0</v>
      </c>
      <c r="BJ52" s="237">
        <f>(+BJ51)-BJ15</f>
        <v>0</v>
      </c>
      <c r="BK52" s="237">
        <f>(+BK51)-BK15</f>
        <v>0</v>
      </c>
      <c r="BL52" s="237">
        <f>(+BL51)-BL15</f>
        <v>0</v>
      </c>
      <c r="BM52" s="237">
        <f>(+BM51)-BM15</f>
        <v>0</v>
      </c>
      <c r="BN52" s="237">
        <f>(+BN51)-BN15</f>
        <v>0</v>
      </c>
      <c r="BP52" s="237">
        <f>(+BP51)-BP15</f>
        <v>0</v>
      </c>
      <c r="BQ52" s="237">
        <f>(+BQ51)-BQ15</f>
        <v>0</v>
      </c>
      <c r="BR52" s="237">
        <f>(+BR51)-BR15</f>
        <v>0</v>
      </c>
      <c r="BS52" s="237">
        <f>(+BS51)-BS15</f>
        <v>0</v>
      </c>
      <c r="BT52" s="237">
        <f>(+BT51)-BT15</f>
        <v>0</v>
      </c>
      <c r="BX52" s="246"/>
      <c r="BZ52" s="237">
        <f>+BZ51-BZ15</f>
        <v>0</v>
      </c>
      <c r="CA52" s="237">
        <f>+CA51-CA15</f>
        <v>0</v>
      </c>
      <c r="CB52" s="237">
        <f>+CB51-CB15</f>
        <v>0</v>
      </c>
      <c r="CC52" s="237">
        <f>+CC51-CC15</f>
        <v>0</v>
      </c>
      <c r="CD52" s="237">
        <f>+CD51-CD15</f>
        <v>0</v>
      </c>
      <c r="CF52" s="237">
        <f>+CF51-CF15</f>
        <v>0</v>
      </c>
      <c r="CG52" s="237">
        <f>+CG51-CG15</f>
        <v>0</v>
      </c>
      <c r="CH52" s="237">
        <f>+CH51-CH15</f>
        <v>0</v>
      </c>
      <c r="CI52" s="237">
        <f>+CI51-CI15</f>
        <v>0</v>
      </c>
      <c r="CJ52" s="237">
        <f>+CJ51-CJ15</f>
        <v>0</v>
      </c>
      <c r="CL52" s="237">
        <f t="shared" ref="CL52:CV52" si="22">+CL51-CL15</f>
        <v>0</v>
      </c>
      <c r="CM52" s="237">
        <f t="shared" si="22"/>
        <v>0</v>
      </c>
      <c r="CN52" s="237">
        <f t="shared" si="22"/>
        <v>0</v>
      </c>
      <c r="CO52" s="237">
        <f t="shared" si="22"/>
        <v>0</v>
      </c>
      <c r="CP52" s="237">
        <f t="shared" si="22"/>
        <v>0</v>
      </c>
      <c r="CQ52" s="237">
        <f t="shared" si="22"/>
        <v>0</v>
      </c>
      <c r="CR52" s="237">
        <f t="shared" si="22"/>
        <v>0</v>
      </c>
      <c r="CS52" s="237">
        <f t="shared" si="22"/>
        <v>0</v>
      </c>
      <c r="CT52" s="237">
        <f t="shared" si="22"/>
        <v>0</v>
      </c>
      <c r="CU52" s="237">
        <f t="shared" si="22"/>
        <v>0</v>
      </c>
      <c r="CV52" s="237">
        <f t="shared" si="22"/>
        <v>0</v>
      </c>
      <c r="CX52" s="237">
        <f>+CX51-CX15</f>
        <v>0</v>
      </c>
      <c r="CY52" s="237">
        <f>+CY51-CY15</f>
        <v>0</v>
      </c>
      <c r="CZ52" s="237">
        <f>+CZ51-CZ15</f>
        <v>0</v>
      </c>
      <c r="DA52" s="237">
        <f>+DA51-DA15</f>
        <v>0</v>
      </c>
      <c r="DB52" s="237">
        <f>+DB51-DB15</f>
        <v>0</v>
      </c>
      <c r="DD52" s="237">
        <f>+DD51-DD15</f>
        <v>0</v>
      </c>
      <c r="DE52" s="237">
        <f>+DE51-DE15</f>
        <v>0</v>
      </c>
      <c r="DF52" s="237">
        <f>+DF51-DF15</f>
        <v>0</v>
      </c>
      <c r="DG52" s="237">
        <f>+DG51-DG15</f>
        <v>0</v>
      </c>
      <c r="DH52" s="237">
        <f>+DH51-DH15</f>
        <v>0</v>
      </c>
      <c r="DJ52" s="237">
        <f>+DJ51-DJ15</f>
        <v>0</v>
      </c>
      <c r="DK52" s="237">
        <f>+DK51-DK15</f>
        <v>0</v>
      </c>
      <c r="DL52" s="237">
        <f>+DL51-DL15</f>
        <v>0</v>
      </c>
      <c r="DM52" s="237">
        <f>+DM51-DM15</f>
        <v>0</v>
      </c>
      <c r="DN52" s="237">
        <f>+DN51-DN15</f>
        <v>0</v>
      </c>
      <c r="DP52" s="237">
        <f>+DP51-DP15</f>
        <v>0</v>
      </c>
      <c r="DQ52" s="237">
        <f>+DQ51-DQ15</f>
        <v>0</v>
      </c>
      <c r="DR52" s="237">
        <f>+DR51-DR15</f>
        <v>0</v>
      </c>
      <c r="DS52" s="237">
        <f>+DS51-DS15</f>
        <v>0</v>
      </c>
      <c r="DT52" s="237">
        <f>+DT51-DT15</f>
        <v>0</v>
      </c>
    </row>
    <row r="53" spans="1:124" ht="12.5" customHeight="1" x14ac:dyDescent="0.25">
      <c r="A53" s="147" t="s">
        <v>328</v>
      </c>
      <c r="C53" s="238">
        <f>+'1.Input IS Trend &amp; EPS'!E44</f>
        <v>0.16795768844672851</v>
      </c>
      <c r="E53" s="238">
        <f>+'1.Input IS Trend &amp; EPS'!G44</f>
        <v>0.2057165565253227</v>
      </c>
      <c r="G53" s="238">
        <f>+'1.Input IS Trend &amp; EPS'!I44</f>
        <v>-0.45819955544578911</v>
      </c>
      <c r="I53" s="238">
        <f>+'1.Input IS Trend &amp; EPS'!K44</f>
        <v>8.0779201540626622E-2</v>
      </c>
      <c r="K53" s="238">
        <f>+'1.Input IS Trend &amp; EPS'!M44</f>
        <v>0.25473550558811803</v>
      </c>
      <c r="M53" s="238">
        <f>+'1.Input IS Trend &amp; EPS'!O44</f>
        <v>-1.3082188702985276</v>
      </c>
      <c r="X53" s="167"/>
      <c r="Z53" s="94">
        <f>+'1.Input NG Expense'!AH22</f>
        <v>32037000</v>
      </c>
      <c r="AA53" s="94">
        <f>+'1.Input NG Expense'!AI22</f>
        <v>33213000</v>
      </c>
      <c r="AB53" s="94">
        <f>+'1.Input NG Expense'!AJ22</f>
        <v>30595000</v>
      </c>
      <c r="AC53" s="94">
        <f>+'1.Input NG Expense'!AK22</f>
        <v>0</v>
      </c>
      <c r="AD53" s="94">
        <f>SUM(Z53:AC53)</f>
        <v>95845000</v>
      </c>
      <c r="AF53" s="94">
        <f>+'1.Input NG Expense'!AN22</f>
        <v>18573000</v>
      </c>
      <c r="AG53" s="94">
        <f>+'1.Input NG Expense'!AO22</f>
        <v>23526000</v>
      </c>
      <c r="AH53" s="94">
        <f>+'1.Input NG Expense'!AP22</f>
        <v>21180000</v>
      </c>
      <c r="AI53" s="94">
        <f>+'1.Input NG Expense'!AQ22</f>
        <v>30393000</v>
      </c>
      <c r="AJ53" s="94">
        <f>SUM(AF53:AI53)</f>
        <v>93672000</v>
      </c>
      <c r="AL53" s="94">
        <f>+'1.Input NG Expense'!AT22</f>
        <v>29607000</v>
      </c>
      <c r="AM53" s="94">
        <f>+'1.Input NG Expense'!AU22</f>
        <v>46291000</v>
      </c>
      <c r="AN53" s="94">
        <f>+'1.Input NG Expense'!AV22</f>
        <v>49688000</v>
      </c>
      <c r="AO53" s="94">
        <f>+'1.Input NG Expense'!AW22</f>
        <v>61380000</v>
      </c>
      <c r="AP53" s="94">
        <f>SUM(AL53:AO53)</f>
        <v>186966000</v>
      </c>
      <c r="AR53" s="94">
        <f>+'1.Input NG Expense'!AZ22</f>
        <v>-5633000</v>
      </c>
      <c r="AS53" s="94">
        <f>+'1.Input NG Expense'!BA22</f>
        <v>23851000</v>
      </c>
      <c r="AT53" s="94">
        <f>+'1.Input NG Expense'!BB22</f>
        <v>28222000</v>
      </c>
      <c r="AU53" s="94">
        <f>+'1.Input NG Expense'!BC22</f>
        <v>30772000</v>
      </c>
      <c r="AV53" s="94">
        <f>SUM(AR53:AU53)</f>
        <v>77212000</v>
      </c>
      <c r="AX53" s="94">
        <f>+'1.Input NG Expense'!BF22</f>
        <v>27391000</v>
      </c>
      <c r="AY53" s="94">
        <f>+'1.Input NG Expense'!BG22</f>
        <v>28193000</v>
      </c>
      <c r="AZ53" s="94">
        <f>+'1.Input NG Expense'!BH22</f>
        <v>28101000</v>
      </c>
      <c r="BA53" s="94">
        <f>+'1.Input NG Expense'!BI22</f>
        <v>52646000</v>
      </c>
      <c r="BB53" s="94">
        <f>SUM(AX53:BA53)</f>
        <v>136331000</v>
      </c>
      <c r="BD53" s="94">
        <f>+'1.Input NG Expense'!BL22</f>
        <v>25935000</v>
      </c>
      <c r="BE53" s="94">
        <f>+'1.Input NG Expense'!BM22</f>
        <v>30431000</v>
      </c>
      <c r="BF53" s="94">
        <f>+'1.Input NG Expense'!BN22</f>
        <v>35897000</v>
      </c>
      <c r="BG53" s="94">
        <f>+'1.Input NG Expense'!BO22</f>
        <v>24796000</v>
      </c>
      <c r="BH53" s="94">
        <f>SUM(BD53:BG53)</f>
        <v>117059000</v>
      </c>
      <c r="BJ53" s="94">
        <f>+'1.Input NG Expense'!BR22</f>
        <v>23768600</v>
      </c>
      <c r="BK53" s="94">
        <f>+'1.Input NG Expense'!BS22</f>
        <v>23826000</v>
      </c>
      <c r="BL53" s="94">
        <f>+'1.Input NG Expense'!BT22</f>
        <v>37143000</v>
      </c>
      <c r="BM53" s="94">
        <f>+'1.Input NG Expense'!BU22</f>
        <v>59704000</v>
      </c>
      <c r="BN53" s="94">
        <f>SUM(BJ53:BM53)</f>
        <v>144441600</v>
      </c>
      <c r="BX53" s="167"/>
    </row>
    <row r="54" spans="1:124" ht="12.5" customHeight="1" x14ac:dyDescent="0.25">
      <c r="A54" s="164" t="s">
        <v>130</v>
      </c>
      <c r="C54" s="239">
        <f>+C53-C19</f>
        <v>0</v>
      </c>
      <c r="E54" s="239">
        <f>+E53-E19</f>
        <v>0</v>
      </c>
      <c r="G54" s="239">
        <f>+G53-G19</f>
        <v>0</v>
      </c>
      <c r="I54" s="239">
        <f>+I53-I19</f>
        <v>7.7920154062662006E-4</v>
      </c>
      <c r="K54" s="239">
        <f>+K53-K19</f>
        <v>4.7355055881180275E-3</v>
      </c>
      <c r="M54" s="239">
        <f>+M53-M19</f>
        <v>1.7811297014724836E-3</v>
      </c>
      <c r="X54" s="246"/>
      <c r="Z54" s="237">
        <f>(+Z53)-Z28</f>
        <v>0</v>
      </c>
      <c r="AA54" s="237">
        <f>(+AA53)-AA28</f>
        <v>0</v>
      </c>
      <c r="AB54" s="237">
        <f>(+AB53)-AB28</f>
        <v>0</v>
      </c>
      <c r="AC54" s="237">
        <f>(+AC53)-AC28</f>
        <v>0</v>
      </c>
      <c r="AD54" s="237">
        <f>(+AD53)-AD28</f>
        <v>0</v>
      </c>
      <c r="AF54" s="237">
        <f>(+AF53)-AF28</f>
        <v>0</v>
      </c>
      <c r="AG54" s="237">
        <f>(+AG53)-AG28</f>
        <v>0</v>
      </c>
      <c r="AH54" s="237">
        <f>(+AH53)-AH28</f>
        <v>0</v>
      </c>
      <c r="AI54" s="237">
        <f>(+AI53)-AI28</f>
        <v>0</v>
      </c>
      <c r="AJ54" s="237">
        <f>(+AJ53)-AJ28</f>
        <v>0</v>
      </c>
      <c r="AL54" s="237">
        <f>(+AL53)-AL28</f>
        <v>0</v>
      </c>
      <c r="AM54" s="237">
        <f>(+AM53)-AM28</f>
        <v>0</v>
      </c>
      <c r="AN54" s="237">
        <f>(+AN53)-AN28</f>
        <v>0</v>
      </c>
      <c r="AO54" s="237">
        <f>(+AO53)-AO28</f>
        <v>0</v>
      </c>
      <c r="AP54" s="237">
        <f>(+AP53)-AP28</f>
        <v>0</v>
      </c>
      <c r="AR54" s="237">
        <f>(+AR53)-AR28</f>
        <v>0</v>
      </c>
      <c r="AS54" s="237">
        <f>(+AS53)-AS28</f>
        <v>0</v>
      </c>
      <c r="AT54" s="237">
        <f>(+AT53)-AT28</f>
        <v>0</v>
      </c>
      <c r="AU54" s="237">
        <f>(+AU53)-AU28</f>
        <v>0</v>
      </c>
      <c r="AV54" s="237">
        <f>(+AV53)-AV28</f>
        <v>0</v>
      </c>
      <c r="AX54" s="237">
        <f>(+AX53)-AX28</f>
        <v>0</v>
      </c>
      <c r="AY54" s="237">
        <f>(+AY53)-AY28</f>
        <v>0</v>
      </c>
      <c r="AZ54" s="237">
        <f>(+AZ53)-AZ28</f>
        <v>0</v>
      </c>
      <c r="BA54" s="237">
        <f>(+BA53)-BA28</f>
        <v>0</v>
      </c>
      <c r="BB54" s="237">
        <f>(+BB53)-BB28</f>
        <v>0</v>
      </c>
      <c r="BD54" s="237">
        <f>(+BD53)-BD28</f>
        <v>0</v>
      </c>
      <c r="BE54" s="237">
        <f>(+BE53)-BE28</f>
        <v>0</v>
      </c>
      <c r="BF54" s="237">
        <f>(+BF53)-BF28</f>
        <v>0</v>
      </c>
      <c r="BG54" s="237">
        <f>(+BG53)-BG28</f>
        <v>0</v>
      </c>
      <c r="BH54" s="237">
        <f>(+BH53)-BH28</f>
        <v>0</v>
      </c>
      <c r="BJ54" s="237">
        <f>(+BJ53)-BJ28</f>
        <v>-400</v>
      </c>
      <c r="BK54" s="237">
        <f>(+BK53)-BK28</f>
        <v>0</v>
      </c>
      <c r="BL54" s="237">
        <f>(+BL53)-BL28</f>
        <v>0</v>
      </c>
      <c r="BM54" s="237">
        <f>(+BM53)-BM28</f>
        <v>0</v>
      </c>
      <c r="BN54" s="237">
        <f>(+BN53)-BN28</f>
        <v>-400</v>
      </c>
      <c r="BX54" s="246"/>
    </row>
    <row r="55" spans="1:124" ht="12.5" customHeight="1" x14ac:dyDescent="0.25">
      <c r="X55" s="167"/>
      <c r="BX55" s="167"/>
    </row>
    <row r="56" spans="1:124" ht="12.5" customHeight="1" x14ac:dyDescent="0.25">
      <c r="A56" s="147" t="s">
        <v>329</v>
      </c>
      <c r="C56" s="235">
        <f>+'1.Input NG Expense'!C22</f>
        <v>30595000</v>
      </c>
      <c r="E56" s="235">
        <f>+'1.Input NG Expense'!E22</f>
        <v>21180000</v>
      </c>
      <c r="G56" s="235">
        <f>+'1.Input NG Expense'!G22</f>
        <v>49688000</v>
      </c>
      <c r="I56" s="235">
        <f>+'1.Input NG Expense'!I22</f>
        <v>95845000</v>
      </c>
      <c r="K56" s="235">
        <f>+'1.Input NG Expense'!K22</f>
        <v>63279000</v>
      </c>
      <c r="M56" s="235">
        <f>+'1.Input NG Expense'!M22</f>
        <v>125586000</v>
      </c>
      <c r="X56" s="167"/>
      <c r="BX56" s="167"/>
    </row>
    <row r="57" spans="1:124" ht="12.5" customHeight="1" x14ac:dyDescent="0.25">
      <c r="A57" s="164" t="s">
        <v>130</v>
      </c>
      <c r="C57" s="236">
        <f>+C56-C28</f>
        <v>0</v>
      </c>
      <c r="E57" s="236">
        <f>+E56-E28</f>
        <v>0</v>
      </c>
      <c r="G57" s="236">
        <f>+G56-G28</f>
        <v>0</v>
      </c>
      <c r="I57" s="236">
        <f>+I56-I28</f>
        <v>0</v>
      </c>
      <c r="K57" s="236">
        <f>+K56-K28</f>
        <v>0</v>
      </c>
      <c r="M57" s="236">
        <f>+M56-M28</f>
        <v>0</v>
      </c>
      <c r="X57" s="246"/>
      <c r="BX57" s="246"/>
    </row>
    <row r="58" spans="1:124" ht="12.5" customHeight="1" x14ac:dyDescent="0.25">
      <c r="A58" s="147" t="s">
        <v>330</v>
      </c>
      <c r="C58" s="235">
        <f>+'1.Input IS Trend &amp; EPS'!E28+'1.Input NG Expense'!C22</f>
        <v>49301000</v>
      </c>
      <c r="E58" s="235">
        <f>+'1.Input IS Trend &amp; EPS'!G28+'1.Input NG Expense'!E22</f>
        <v>42988000</v>
      </c>
      <c r="G58" s="235">
        <f>+'1.Input IS Trend &amp; EPS'!I28+'1.Input NG Expense'!G22</f>
        <v>25003000</v>
      </c>
      <c r="I58" s="235">
        <f>+'1.Input IS Trend &amp; EPS'!K28+'1.Input NG Expense'!I22</f>
        <v>125431000</v>
      </c>
      <c r="K58" s="235">
        <f>+'1.Input IS Trend &amp; EPS'!M28+'1.Input NG Expense'!K22</f>
        <v>106845000</v>
      </c>
      <c r="M58" s="235">
        <f>+'1.Input IS Trend &amp; EPS'!O28+'1.Input NG Expense'!M22</f>
        <v>49124000</v>
      </c>
      <c r="X58" s="167"/>
      <c r="BX58" s="167"/>
    </row>
    <row r="59" spans="1:124" ht="12.5" customHeight="1" x14ac:dyDescent="0.25">
      <c r="A59" s="164" t="s">
        <v>130</v>
      </c>
      <c r="C59" s="236">
        <f>+C58-C30</f>
        <v>0</v>
      </c>
      <c r="E59" s="236">
        <f>+E58-E30</f>
        <v>0</v>
      </c>
      <c r="G59" s="236">
        <f>+G58-G30</f>
        <v>0</v>
      </c>
      <c r="I59" s="236">
        <f>+I58-I30</f>
        <v>0</v>
      </c>
      <c r="K59" s="236">
        <f>+K58-K30</f>
        <v>0</v>
      </c>
      <c r="M59" s="236">
        <f>+M58-M30</f>
        <v>0</v>
      </c>
      <c r="X59" s="246"/>
      <c r="BX59" s="246"/>
    </row>
    <row r="60" spans="1:124" ht="12.5" customHeight="1" x14ac:dyDescent="0.25">
      <c r="X60" s="167"/>
      <c r="BX60" s="167"/>
    </row>
    <row r="61" spans="1:124" ht="12.5" customHeight="1" x14ac:dyDescent="0.25">
      <c r="X61" s="167"/>
      <c r="BX61" s="167"/>
    </row>
    <row r="62" spans="1:124" ht="12.5" customHeight="1" x14ac:dyDescent="0.25">
      <c r="X62" s="167"/>
      <c r="BX62" s="167"/>
    </row>
    <row r="63" spans="1:124" ht="12.5" customHeight="1" x14ac:dyDescent="0.25">
      <c r="X63" s="167"/>
      <c r="BX63" s="167"/>
    </row>
    <row r="64" spans="1:124" ht="12.5" customHeight="1" x14ac:dyDescent="0.25">
      <c r="X64" s="167"/>
      <c r="BX64" s="167"/>
    </row>
    <row r="65" spans="24:76" ht="12.5" customHeight="1" x14ac:dyDescent="0.25">
      <c r="X65" s="167"/>
      <c r="BX65" s="167"/>
    </row>
    <row r="66" spans="24:76" ht="12.5" customHeight="1" x14ac:dyDescent="0.25">
      <c r="X66" s="167"/>
      <c r="BX66" s="167"/>
    </row>
    <row r="67" spans="24:76" ht="12.5" customHeight="1" x14ac:dyDescent="0.25">
      <c r="X67" s="167"/>
      <c r="BX67" s="167"/>
    </row>
    <row r="68" spans="24:76" ht="12.5" customHeight="1" x14ac:dyDescent="0.25">
      <c r="X68" s="167"/>
      <c r="BX68" s="167"/>
    </row>
  </sheetData>
  <mergeCells count="25">
    <mergeCell ref="DD6:DH6"/>
    <mergeCell ref="DJ6:DN6"/>
    <mergeCell ref="DP6:DT6"/>
    <mergeCell ref="CF2:CJ2"/>
    <mergeCell ref="CF6:CJ6"/>
    <mergeCell ref="CL6:CP6"/>
    <mergeCell ref="CR6:CV6"/>
    <mergeCell ref="CX6:DB6"/>
    <mergeCell ref="Z2:AD2"/>
    <mergeCell ref="P37:R37"/>
    <mergeCell ref="P44:R44"/>
    <mergeCell ref="BZ6:CD6"/>
    <mergeCell ref="BZ2:CD2"/>
    <mergeCell ref="T5:V5"/>
    <mergeCell ref="T6:V6"/>
    <mergeCell ref="P6:R6"/>
    <mergeCell ref="P5:R5"/>
    <mergeCell ref="P4:R4"/>
    <mergeCell ref="T4:V4"/>
    <mergeCell ref="C5:G5"/>
    <mergeCell ref="C6:G6"/>
    <mergeCell ref="C4:G4"/>
    <mergeCell ref="I4:M4"/>
    <mergeCell ref="I5:M5"/>
    <mergeCell ref="I6:M6"/>
  </mergeCells>
  <conditionalFormatting sqref="C52:M52 Z52:BU52 BZ52:CD52 CF52:CJ52 CL52:CV52 CX52:DB52 DD52:DH52 DJ52:DN52 DP52:DT52 C54:M54 Z54:BO54 C57:M57 C59:M59">
    <cfRule type="cellIs" dxfId="0" priority="1" operator="notEqual">
      <formula>0</formula>
    </cfRule>
  </conditionalFormatting>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T119"/>
  <sheetViews>
    <sheetView workbookViewId="0">
      <pane xSplit="3" ySplit="7" topLeftCell="D8" activePane="bottomRight" state="frozen"/>
      <selection pane="topRight"/>
      <selection pane="bottomLeft"/>
      <selection pane="bottomRight"/>
    </sheetView>
  </sheetViews>
  <sheetFormatPr defaultColWidth="13.08984375" defaultRowHeight="12.5" x14ac:dyDescent="0.25"/>
  <cols>
    <col min="1" max="2" width="29.26953125" customWidth="1"/>
    <col min="3" max="3" width="1.08984375" customWidth="1"/>
    <col min="4" max="4" width="14.1796875" customWidth="1"/>
    <col min="5" max="5" width="1.26953125" customWidth="1"/>
    <col min="6" max="6" width="14.1796875" customWidth="1"/>
    <col min="7" max="7" width="1.7265625" customWidth="1"/>
    <col min="8" max="8" width="14.1796875" customWidth="1"/>
    <col min="9" max="9" width="0.90625" customWidth="1"/>
    <col min="10" max="10" width="12.90625" customWidth="1"/>
    <col min="11" max="11" width="1.26953125" customWidth="1"/>
    <col min="12" max="12" width="12.90625" customWidth="1"/>
    <col min="13" max="13" width="1.08984375" customWidth="1"/>
    <col min="14" max="14" width="12.90625" customWidth="1"/>
    <col min="15" max="15" width="1.26953125" customWidth="1"/>
    <col min="16" max="16" width="8.453125" customWidth="1"/>
    <col min="17" max="17" width="1.08984375" customWidth="1"/>
    <col min="18" max="18" width="8.453125" customWidth="1"/>
    <col min="19" max="19" width="1.08984375" customWidth="1"/>
    <col min="20" max="20" width="9.26953125" customWidth="1"/>
    <col min="21" max="21" width="0.26953125" customWidth="1"/>
    <col min="22" max="22" width="9.26953125" customWidth="1"/>
    <col min="23" max="23" width="0.26953125" customWidth="1"/>
    <col min="24" max="24" width="9.26953125" customWidth="1"/>
    <col min="25" max="25" width="1.08984375" customWidth="1"/>
    <col min="26" max="26" width="9.08984375" customWidth="1"/>
    <col min="27" max="27" width="0.26953125" customWidth="1"/>
    <col min="28" max="28" width="9.08984375" customWidth="1"/>
    <col min="29" max="29" width="0.26953125" customWidth="1"/>
    <col min="30" max="30" width="9.08984375" customWidth="1"/>
    <col min="31" max="31" width="0.26953125" customWidth="1"/>
    <col min="32" max="32" width="9.08984375" customWidth="1"/>
    <col min="33" max="33" width="0.26953125" customWidth="1"/>
    <col min="34" max="34" width="9.08984375" customWidth="1"/>
    <col min="35" max="35" width="0.90625" customWidth="1"/>
    <col min="36" max="36" width="6.08984375" customWidth="1"/>
    <col min="37" max="37" width="0.90625" customWidth="1"/>
    <col min="38" max="38" width="1.08984375" customWidth="1"/>
    <col min="39" max="39" width="1.54296875" customWidth="1"/>
    <col min="40" max="44" width="10.54296875" customWidth="1"/>
    <col min="45" max="45" width="1.54296875" customWidth="1"/>
    <col min="46" max="50" width="10.54296875" customWidth="1"/>
    <col min="51" max="51" width="1.26953125" customWidth="1"/>
    <col min="52" max="56" width="9.7265625" customWidth="1"/>
    <col min="57" max="57" width="1.7265625" customWidth="1"/>
    <col min="58" max="62" width="10.36328125" customWidth="1"/>
    <col min="63" max="63" width="1.08984375" customWidth="1"/>
    <col min="64" max="68" width="10.36328125" customWidth="1"/>
    <col min="69" max="69" width="1.90625" customWidth="1"/>
    <col min="70" max="74" width="9.7265625" customWidth="1"/>
    <col min="75" max="75" width="1.54296875" customWidth="1"/>
    <col min="76" max="80" width="10.54296875" customWidth="1"/>
    <col min="81" max="81" width="2.36328125" customWidth="1"/>
    <col min="82" max="83" width="1.54296875" customWidth="1"/>
    <col min="84" max="88" width="10.36328125" customWidth="1"/>
    <col min="89" max="89" width="1.54296875" customWidth="1"/>
    <col min="90" max="94" width="10.36328125" customWidth="1"/>
    <col min="95" max="95" width="1.7265625" customWidth="1"/>
    <col min="96" max="100" width="9.90625" customWidth="1"/>
    <col min="101" max="101" width="1.54296875" customWidth="1"/>
    <col min="102" max="106" width="10.36328125" customWidth="1"/>
    <col min="107" max="107" width="1.7265625" customWidth="1"/>
    <col min="108" max="112" width="11.36328125" customWidth="1"/>
    <col min="113" max="113" width="1.90625" customWidth="1"/>
    <col min="114" max="118" width="11" customWidth="1"/>
    <col min="119" max="119" width="0.90625" customWidth="1"/>
    <col min="120" max="124" width="10.54296875" customWidth="1"/>
    <col min="125" max="125" width="1.54296875" customWidth="1"/>
    <col min="126" max="126" width="1.7265625" customWidth="1"/>
  </cols>
  <sheetData>
    <row r="1" spans="1:124" ht="16.649999999999999" customHeight="1" x14ac:dyDescent="0.25">
      <c r="A1" s="247" t="s">
        <v>331</v>
      </c>
      <c r="F1" s="248" t="s">
        <v>141</v>
      </c>
      <c r="H1" s="248" t="s">
        <v>141</v>
      </c>
      <c r="L1" s="248" t="s">
        <v>141</v>
      </c>
      <c r="N1" s="248" t="s">
        <v>141</v>
      </c>
      <c r="AL1" s="240"/>
      <c r="AP1" s="125"/>
      <c r="CD1" s="167"/>
    </row>
    <row r="2" spans="1:124" ht="16.649999999999999" customHeight="1" x14ac:dyDescent="0.25">
      <c r="A2" s="125" t="s">
        <v>332</v>
      </c>
      <c r="D2" s="393" t="s">
        <v>142</v>
      </c>
      <c r="E2" s="393"/>
      <c r="F2" s="393"/>
      <c r="G2" s="393"/>
      <c r="H2" s="393"/>
      <c r="J2" s="395" t="s">
        <v>143</v>
      </c>
      <c r="K2" s="395"/>
      <c r="L2" s="395"/>
      <c r="M2" s="395"/>
      <c r="N2" s="395"/>
      <c r="AL2" s="271"/>
      <c r="AP2" s="125"/>
      <c r="CD2" s="167"/>
    </row>
    <row r="3" spans="1:124" ht="15" customHeight="1" x14ac:dyDescent="0.25">
      <c r="A3" s="125"/>
      <c r="D3" s="208"/>
      <c r="E3" s="208"/>
      <c r="F3" s="208"/>
      <c r="G3" s="208"/>
      <c r="H3" s="272"/>
      <c r="J3" s="272"/>
      <c r="K3" s="272"/>
      <c r="L3" s="272"/>
      <c r="M3" s="272"/>
      <c r="N3" s="272"/>
      <c r="P3" s="380" t="s">
        <v>155</v>
      </c>
      <c r="Q3" s="362"/>
      <c r="R3" s="362"/>
      <c r="S3" s="362"/>
      <c r="T3" s="362"/>
      <c r="U3" s="362"/>
      <c r="V3" s="362"/>
      <c r="W3" s="362"/>
      <c r="X3" s="362"/>
      <c r="Z3" s="380" t="s">
        <v>156</v>
      </c>
      <c r="AA3" s="362"/>
      <c r="AB3" s="362"/>
      <c r="AC3" s="362"/>
      <c r="AD3" s="362"/>
      <c r="AE3" s="362"/>
      <c r="AF3" s="362"/>
      <c r="AG3" s="362"/>
      <c r="AH3" s="362"/>
      <c r="AL3" s="271"/>
      <c r="CD3" s="167"/>
    </row>
    <row r="4" spans="1:124" ht="16.649999999999999" customHeight="1" x14ac:dyDescent="0.25">
      <c r="A4" s="125"/>
      <c r="D4" s="380" t="s">
        <v>146</v>
      </c>
      <c r="E4" s="362"/>
      <c r="F4" s="362"/>
      <c r="G4" s="362"/>
      <c r="H4" s="362"/>
      <c r="J4" s="394" t="s">
        <v>146</v>
      </c>
      <c r="K4" s="362"/>
      <c r="L4" s="362"/>
      <c r="M4" s="362"/>
      <c r="N4" s="362"/>
      <c r="P4" s="397" t="s">
        <v>146</v>
      </c>
      <c r="Q4" s="397"/>
      <c r="R4" s="397"/>
      <c r="S4" s="112"/>
      <c r="T4" s="397" t="s">
        <v>146</v>
      </c>
      <c r="U4" s="397"/>
      <c r="V4" s="397"/>
      <c r="W4" s="397"/>
      <c r="X4" s="397"/>
      <c r="Z4" s="397" t="s">
        <v>146</v>
      </c>
      <c r="AA4" s="397"/>
      <c r="AB4" s="397"/>
      <c r="AC4" s="112"/>
      <c r="AD4" s="397" t="s">
        <v>146</v>
      </c>
      <c r="AE4" s="397"/>
      <c r="AF4" s="397"/>
      <c r="AG4" s="397"/>
      <c r="AH4" s="397"/>
      <c r="AL4" s="271"/>
      <c r="CD4" s="167"/>
    </row>
    <row r="5" spans="1:124" ht="23.25" customHeight="1" x14ac:dyDescent="0.25">
      <c r="A5" s="125"/>
      <c r="D5" s="381" t="s">
        <v>148</v>
      </c>
      <c r="E5" s="381"/>
      <c r="F5" s="381"/>
      <c r="G5" s="381"/>
      <c r="H5" s="381"/>
      <c r="J5" s="396" t="s">
        <v>148</v>
      </c>
      <c r="K5" s="396"/>
      <c r="L5" s="396"/>
      <c r="M5" s="396"/>
      <c r="N5" s="396"/>
      <c r="P5" s="381" t="s">
        <v>333</v>
      </c>
      <c r="Q5" s="381"/>
      <c r="R5" s="381"/>
      <c r="T5" s="381" t="s">
        <v>148</v>
      </c>
      <c r="U5" s="381"/>
      <c r="V5" s="381"/>
      <c r="W5" s="381"/>
      <c r="X5" s="381"/>
      <c r="Z5" s="381" t="s">
        <v>333</v>
      </c>
      <c r="AA5" s="381"/>
      <c r="AB5" s="381"/>
      <c r="AD5" s="381" t="s">
        <v>148</v>
      </c>
      <c r="AE5" s="381"/>
      <c r="AF5" s="381"/>
      <c r="AG5" s="381"/>
      <c r="AH5" s="381"/>
      <c r="AL5" s="240"/>
      <c r="AO5" s="61"/>
      <c r="AP5" s="212" t="s">
        <v>157</v>
      </c>
      <c r="CD5" s="167"/>
      <c r="CF5" s="111" t="s">
        <v>146</v>
      </c>
      <c r="CL5" s="111" t="s">
        <v>146</v>
      </c>
      <c r="CR5" s="111" t="s">
        <v>146</v>
      </c>
      <c r="CX5" s="111" t="s">
        <v>146</v>
      </c>
      <c r="DD5" s="111" t="s">
        <v>146</v>
      </c>
      <c r="DJ5" s="111" t="s">
        <v>146</v>
      </c>
      <c r="DP5" s="111" t="s">
        <v>146</v>
      </c>
    </row>
    <row r="6" spans="1:124" ht="16.649999999999999" customHeight="1" x14ac:dyDescent="0.25">
      <c r="D6" s="380" t="s">
        <v>155</v>
      </c>
      <c r="E6" s="362"/>
      <c r="F6" s="362"/>
      <c r="G6" s="362"/>
      <c r="H6" s="362"/>
      <c r="J6" s="394" t="s">
        <v>156</v>
      </c>
      <c r="K6" s="362"/>
      <c r="L6" s="362"/>
      <c r="M6" s="362"/>
      <c r="N6" s="362"/>
      <c r="P6" s="380" t="s">
        <v>155</v>
      </c>
      <c r="Q6" s="362"/>
      <c r="R6" s="362"/>
      <c r="T6" s="380" t="s">
        <v>155</v>
      </c>
      <c r="U6" s="362"/>
      <c r="V6" s="362"/>
      <c r="W6" s="362"/>
      <c r="X6" s="362"/>
      <c r="Z6" s="380" t="s">
        <v>156</v>
      </c>
      <c r="AA6" s="362"/>
      <c r="AB6" s="362"/>
      <c r="AD6" s="380" t="s">
        <v>156</v>
      </c>
      <c r="AE6" s="362"/>
      <c r="AF6" s="362"/>
      <c r="AG6" s="362"/>
      <c r="AH6" s="362"/>
      <c r="AL6" s="273"/>
      <c r="AN6" s="398" t="s">
        <v>334</v>
      </c>
      <c r="AO6" s="384"/>
      <c r="AP6" s="384"/>
      <c r="AQ6" s="399"/>
      <c r="AR6" s="249" t="s">
        <v>156</v>
      </c>
      <c r="AS6" s="274"/>
      <c r="AT6" s="398" t="s">
        <v>334</v>
      </c>
      <c r="AU6" s="384"/>
      <c r="AV6" s="384"/>
      <c r="AW6" s="399"/>
      <c r="AX6" s="249" t="s">
        <v>156</v>
      </c>
      <c r="AY6" s="274"/>
      <c r="AZ6" s="398" t="s">
        <v>334</v>
      </c>
      <c r="BA6" s="384"/>
      <c r="BB6" s="384"/>
      <c r="BC6" s="399"/>
      <c r="BD6" s="249" t="s">
        <v>156</v>
      </c>
      <c r="BE6" s="274"/>
      <c r="BF6" s="398" t="s">
        <v>334</v>
      </c>
      <c r="BG6" s="384"/>
      <c r="BH6" s="384"/>
      <c r="BI6" s="399"/>
      <c r="BJ6" s="249" t="s">
        <v>156</v>
      </c>
      <c r="BK6" s="274"/>
      <c r="BL6" s="398" t="s">
        <v>334</v>
      </c>
      <c r="BM6" s="384"/>
      <c r="BN6" s="384"/>
      <c r="BO6" s="399"/>
      <c r="BP6" s="249" t="s">
        <v>156</v>
      </c>
      <c r="BQ6" s="274"/>
      <c r="BR6" s="398" t="s">
        <v>334</v>
      </c>
      <c r="BS6" s="384"/>
      <c r="BT6" s="384"/>
      <c r="BU6" s="399"/>
      <c r="BV6" s="249" t="s">
        <v>156</v>
      </c>
      <c r="BW6" s="274"/>
      <c r="BX6" s="398" t="s">
        <v>334</v>
      </c>
      <c r="BY6" s="384"/>
      <c r="BZ6" s="384"/>
      <c r="CA6" s="399"/>
      <c r="CB6" s="249" t="s">
        <v>156</v>
      </c>
      <c r="CC6" s="46"/>
      <c r="CD6" s="167"/>
      <c r="CF6" s="375" t="s">
        <v>159</v>
      </c>
      <c r="CG6" s="362"/>
      <c r="CL6" s="375" t="s">
        <v>160</v>
      </c>
      <c r="CM6" s="362"/>
      <c r="CR6" s="375" t="s">
        <v>161</v>
      </c>
      <c r="CS6" s="362"/>
      <c r="CX6" s="375" t="s">
        <v>162</v>
      </c>
      <c r="CY6" s="362"/>
      <c r="DD6" s="375" t="s">
        <v>163</v>
      </c>
      <c r="DE6" s="362"/>
      <c r="DJ6" s="375" t="s">
        <v>164</v>
      </c>
      <c r="DK6" s="362"/>
      <c r="DP6" s="375" t="s">
        <v>165</v>
      </c>
      <c r="DQ6" s="362"/>
    </row>
    <row r="7" spans="1:124" ht="15.75" customHeight="1" x14ac:dyDescent="0.25">
      <c r="A7" s="115" t="s">
        <v>335</v>
      </c>
      <c r="B7" s="115" t="s">
        <v>336</v>
      </c>
      <c r="D7" s="117">
        <f>+Dates!$B29</f>
        <v>45657</v>
      </c>
      <c r="E7" s="170"/>
      <c r="F7" s="117">
        <f>+Dates!$C29</f>
        <v>45291</v>
      </c>
      <c r="G7" s="170"/>
      <c r="H7" s="117">
        <f>+Dates!$D29</f>
        <v>44926</v>
      </c>
      <c r="J7" s="117">
        <f>+Dates!$B29</f>
        <v>45657</v>
      </c>
      <c r="K7" s="170"/>
      <c r="L7" s="117">
        <f>+Dates!$C29</f>
        <v>45291</v>
      </c>
      <c r="M7" s="170"/>
      <c r="N7" s="117">
        <f>+Dates!$D29</f>
        <v>44926</v>
      </c>
      <c r="P7" s="117">
        <f>+Dates!$B29</f>
        <v>45657</v>
      </c>
      <c r="Q7" s="170"/>
      <c r="R7" s="117">
        <f>+Dates!$C29</f>
        <v>45291</v>
      </c>
      <c r="T7" s="117">
        <f>+Dates!$B29</f>
        <v>45657</v>
      </c>
      <c r="U7" s="170"/>
      <c r="V7" s="117">
        <f>+Dates!$C29</f>
        <v>45291</v>
      </c>
      <c r="W7" s="170"/>
      <c r="X7" s="117">
        <f>+Dates!$D29</f>
        <v>44926</v>
      </c>
      <c r="Z7" s="117">
        <f>+Dates!$B29</f>
        <v>45657</v>
      </c>
      <c r="AA7" s="170"/>
      <c r="AB7" s="117">
        <f>+Dates!$C29</f>
        <v>45291</v>
      </c>
      <c r="AD7" s="117">
        <f>+Dates!$B29</f>
        <v>45657</v>
      </c>
      <c r="AE7" s="170"/>
      <c r="AF7" s="117">
        <f>+Dates!$C29</f>
        <v>45291</v>
      </c>
      <c r="AG7" s="170"/>
      <c r="AH7" s="117">
        <f>+Dates!$D29</f>
        <v>44926</v>
      </c>
      <c r="AJ7" s="250" t="s">
        <v>170</v>
      </c>
      <c r="AL7" s="275"/>
      <c r="AN7" s="120">
        <v>45473</v>
      </c>
      <c r="AO7" s="120">
        <v>45565</v>
      </c>
      <c r="AP7" s="121">
        <v>45657</v>
      </c>
      <c r="AQ7" s="120">
        <v>45747</v>
      </c>
      <c r="AR7" s="120" t="s">
        <v>171</v>
      </c>
      <c r="AT7" s="120">
        <v>45107</v>
      </c>
      <c r="AU7" s="120">
        <v>45199</v>
      </c>
      <c r="AV7" s="120">
        <v>45291</v>
      </c>
      <c r="AW7" s="120">
        <v>45382</v>
      </c>
      <c r="AX7" s="120" t="s">
        <v>172</v>
      </c>
      <c r="AZ7" s="120">
        <v>44742</v>
      </c>
      <c r="BA7" s="120">
        <v>44834</v>
      </c>
      <c r="BB7" s="120">
        <v>44926</v>
      </c>
      <c r="BC7" s="120">
        <v>45016</v>
      </c>
      <c r="BD7" s="120" t="s">
        <v>173</v>
      </c>
      <c r="BF7" s="120">
        <v>44377</v>
      </c>
      <c r="BG7" s="120">
        <v>44469</v>
      </c>
      <c r="BH7" s="120">
        <v>44561</v>
      </c>
      <c r="BI7" s="120">
        <v>44651</v>
      </c>
      <c r="BJ7" s="120" t="s">
        <v>174</v>
      </c>
      <c r="BL7" s="117">
        <v>44012</v>
      </c>
      <c r="BM7" s="117">
        <v>44104</v>
      </c>
      <c r="BN7" s="117">
        <v>44196</v>
      </c>
      <c r="BO7" s="117">
        <v>44286</v>
      </c>
      <c r="BP7" s="117" t="s">
        <v>175</v>
      </c>
      <c r="BR7" s="117">
        <v>43646</v>
      </c>
      <c r="BS7" s="117">
        <v>43738</v>
      </c>
      <c r="BT7" s="117">
        <v>43830</v>
      </c>
      <c r="BU7" s="117">
        <v>43921</v>
      </c>
      <c r="BV7" s="117" t="s">
        <v>176</v>
      </c>
      <c r="BX7" s="117">
        <v>43281</v>
      </c>
      <c r="BY7" s="117">
        <v>43373</v>
      </c>
      <c r="BZ7" s="117">
        <v>43465</v>
      </c>
      <c r="CA7" s="117">
        <v>43555</v>
      </c>
      <c r="CB7" s="117" t="s">
        <v>177</v>
      </c>
      <c r="CD7" s="167"/>
      <c r="CF7" s="117">
        <v>45473</v>
      </c>
      <c r="CG7" s="251">
        <v>45565</v>
      </c>
      <c r="CH7" s="117">
        <v>45657</v>
      </c>
      <c r="CI7" s="117">
        <v>45747</v>
      </c>
      <c r="CJ7" s="117" t="s">
        <v>171</v>
      </c>
      <c r="CL7" s="117">
        <v>45107</v>
      </c>
      <c r="CM7" s="117">
        <v>45199</v>
      </c>
      <c r="CN7" s="117">
        <v>45291</v>
      </c>
      <c r="CO7" s="117">
        <v>45382</v>
      </c>
      <c r="CP7" s="117" t="s">
        <v>172</v>
      </c>
      <c r="CR7" s="117">
        <v>44742</v>
      </c>
      <c r="CS7" s="117">
        <v>44834</v>
      </c>
      <c r="CT7" s="117">
        <v>44926</v>
      </c>
      <c r="CU7" s="117">
        <v>45016</v>
      </c>
      <c r="CV7" s="117" t="s">
        <v>173</v>
      </c>
      <c r="CX7" s="117">
        <v>44377</v>
      </c>
      <c r="CY7" s="117">
        <v>44469</v>
      </c>
      <c r="CZ7" s="117">
        <v>44561</v>
      </c>
      <c r="DA7" s="117">
        <v>44651</v>
      </c>
      <c r="DB7" s="117" t="s">
        <v>174</v>
      </c>
      <c r="DD7" s="117">
        <v>44012</v>
      </c>
      <c r="DE7" s="117">
        <v>44104</v>
      </c>
      <c r="DF7" s="117">
        <v>44196</v>
      </c>
      <c r="DG7" s="117">
        <v>44286</v>
      </c>
      <c r="DH7" s="117" t="s">
        <v>175</v>
      </c>
      <c r="DJ7" s="117">
        <v>43646</v>
      </c>
      <c r="DK7" s="117">
        <v>43738</v>
      </c>
      <c r="DL7" s="117">
        <v>43830</v>
      </c>
      <c r="DM7" s="117">
        <v>43921</v>
      </c>
      <c r="DN7" s="117" t="s">
        <v>176</v>
      </c>
      <c r="DP7" s="117">
        <v>43281</v>
      </c>
      <c r="DQ7" s="117">
        <v>43373</v>
      </c>
      <c r="DR7" s="117">
        <v>43465</v>
      </c>
      <c r="DS7" s="117">
        <v>43555</v>
      </c>
      <c r="DT7" s="118" t="s">
        <v>177</v>
      </c>
    </row>
    <row r="8" spans="1:124" ht="16.649999999999999" customHeight="1" x14ac:dyDescent="0.25">
      <c r="A8" s="22" t="s">
        <v>337</v>
      </c>
      <c r="B8" s="22" t="s">
        <v>337</v>
      </c>
      <c r="D8" s="50"/>
      <c r="F8" s="50"/>
      <c r="H8" s="50"/>
      <c r="J8" s="50"/>
      <c r="L8" s="50"/>
      <c r="N8" s="50"/>
      <c r="P8" s="102"/>
      <c r="R8" s="102"/>
      <c r="T8" s="102"/>
      <c r="V8" s="102"/>
      <c r="X8" s="102"/>
      <c r="Z8" s="102"/>
      <c r="AB8" s="102"/>
      <c r="AD8" s="102"/>
      <c r="AF8" s="102"/>
      <c r="AH8" s="102"/>
      <c r="AL8" s="240"/>
      <c r="AN8" s="102"/>
      <c r="AO8" s="102"/>
      <c r="AP8" s="102"/>
      <c r="AQ8" s="102"/>
      <c r="AR8" s="102"/>
      <c r="AT8" s="102"/>
      <c r="AU8" s="102"/>
      <c r="AV8" s="102"/>
      <c r="AW8" s="102"/>
      <c r="AX8" s="102"/>
      <c r="AZ8" s="102"/>
      <c r="BA8" s="102"/>
      <c r="BB8" s="102"/>
      <c r="BC8" s="102"/>
      <c r="BD8" s="102"/>
      <c r="BF8" s="102"/>
      <c r="BG8" s="102"/>
      <c r="BH8" s="102"/>
      <c r="BI8" s="102"/>
      <c r="BJ8" s="102"/>
      <c r="BL8" s="102"/>
      <c r="BM8" s="102"/>
      <c r="BN8" s="102"/>
      <c r="BO8" s="102"/>
      <c r="BP8" s="102"/>
      <c r="BR8" s="102"/>
      <c r="BS8" s="102"/>
      <c r="BT8" s="102"/>
      <c r="BU8" s="102"/>
      <c r="BV8" s="102"/>
      <c r="BX8" s="102"/>
      <c r="BY8" s="102"/>
      <c r="BZ8" s="102"/>
      <c r="CA8" s="102"/>
      <c r="CB8" s="102"/>
      <c r="CD8" s="167"/>
      <c r="CF8" s="102"/>
      <c r="CG8" s="102"/>
      <c r="CH8" s="102"/>
      <c r="CI8" s="102"/>
      <c r="CJ8" s="102"/>
      <c r="CL8" s="102"/>
      <c r="CM8" s="102"/>
      <c r="CN8" s="102"/>
      <c r="CO8" s="102"/>
      <c r="CP8" s="102"/>
      <c r="CR8" s="102"/>
      <c r="CS8" s="102"/>
      <c r="CT8" s="102"/>
      <c r="CU8" s="102"/>
      <c r="CV8" s="102"/>
      <c r="CX8" s="102"/>
      <c r="CY8" s="102"/>
      <c r="CZ8" s="102"/>
      <c r="DA8" s="102"/>
      <c r="DB8" s="102"/>
      <c r="DD8" s="102"/>
      <c r="DE8" s="102"/>
      <c r="DF8" s="102"/>
      <c r="DG8" s="102"/>
      <c r="DH8" s="102"/>
      <c r="DJ8" s="102"/>
      <c r="DK8" s="102"/>
      <c r="DL8" s="102"/>
      <c r="DM8" s="102"/>
      <c r="DN8" s="102"/>
      <c r="DP8" s="102"/>
      <c r="DQ8" s="102"/>
      <c r="DR8" s="102"/>
      <c r="DS8" s="102"/>
      <c r="DT8" s="102"/>
    </row>
    <row r="9" spans="1:124" ht="16.649999999999999" customHeight="1" x14ac:dyDescent="0.25">
      <c r="A9" s="252" t="str">
        <f>IF(T9=V9,T9,"Net earnings (loss)")</f>
        <v>Net earnings</v>
      </c>
      <c r="B9" s="252" t="str">
        <f>IF(AD9=AF9,AD9,"Net earnings (loss)")</f>
        <v>Net earnings</v>
      </c>
      <c r="D9" s="83">
        <f>HLOOKUP(D$7,$AL$7:$CD$75,$AJ9,FALSE)</f>
        <v>11210000</v>
      </c>
      <c r="F9" s="83">
        <f>HLOOKUP(F$7,$AL$7:$CD$75,$AJ9,FALSE)</f>
        <v>13977000</v>
      </c>
      <c r="H9" s="83">
        <f>HLOOKUP(H$7,$AL$7:$CD$75,$AJ9,FALSE)</f>
        <v>-29684000</v>
      </c>
      <c r="J9" s="83">
        <f>HLOOKUP(J$7,$CD$7:$DU$75,$AJ9,FALSE)</f>
        <v>5453000</v>
      </c>
      <c r="L9" s="83">
        <f>HLOOKUP(L$7,$CD$7:$DU$75,$AJ9,FALSE)</f>
        <v>17254000</v>
      </c>
      <c r="N9" s="83">
        <f>HLOOKUP(N$7,$CD$7:$DU$75,$AJ9,FALSE)</f>
        <v>-87338000</v>
      </c>
      <c r="P9" s="198">
        <f>+D9-F9</f>
        <v>-2767000</v>
      </c>
      <c r="R9" s="198">
        <f>+F9-H9</f>
        <v>43661000</v>
      </c>
      <c r="T9" s="54" t="str">
        <f>IF(D9&gt;0,"Net earnings","Net loss")</f>
        <v>Net earnings</v>
      </c>
      <c r="V9" s="54" t="str">
        <f>IF(F9&gt;0,"Net earnings","Net loss")</f>
        <v>Net earnings</v>
      </c>
      <c r="X9" s="54" t="str">
        <f>IF(H9&gt;0,"Net earnings","Net loss")</f>
        <v>Net loss</v>
      </c>
      <c r="Z9" s="198">
        <f t="shared" ref="Z9:Z48" si="0">+J9-L9</f>
        <v>-11801000</v>
      </c>
      <c r="AB9" s="198">
        <f t="shared" ref="AB9:AB48" si="1">+L9-N9</f>
        <v>104592000</v>
      </c>
      <c r="AD9" s="54" t="str">
        <f>IF(J9&gt;0,"Net earnings","Net loss")</f>
        <v>Net earnings</v>
      </c>
      <c r="AF9" s="54" t="str">
        <f>IF(L9&gt;0,"Net earnings","Net loss")</f>
        <v>Net earnings</v>
      </c>
      <c r="AH9" s="54" t="str">
        <f>IF(N9&gt;0,"Net earnings","Net loss")</f>
        <v>Net loss</v>
      </c>
      <c r="AJ9" s="253">
        <v>3</v>
      </c>
      <c r="AL9" s="276"/>
      <c r="AN9" s="94">
        <f>+'1.Input IS Trend &amp; EPS'!AZ34</f>
        <v>-7489000</v>
      </c>
      <c r="AO9" s="94">
        <f>+'1.Input IS Trend &amp; EPS'!BA34</f>
        <v>1732000</v>
      </c>
      <c r="AP9" s="94">
        <f>+'1.Input IS Trend &amp; EPS'!BB34</f>
        <v>11210000</v>
      </c>
      <c r="AQ9" s="94">
        <f>+'1.Input IS Trend &amp; EPS'!BC34</f>
        <v>0</v>
      </c>
      <c r="AR9" s="94">
        <f>SUM(AN9:AQ9)</f>
        <v>5453000</v>
      </c>
      <c r="AT9" s="94">
        <v>-1586000</v>
      </c>
      <c r="AU9" s="94">
        <v>4863000</v>
      </c>
      <c r="AV9" s="94">
        <v>13977000</v>
      </c>
      <c r="AW9" s="94">
        <v>-5373000</v>
      </c>
      <c r="AX9" s="94">
        <f>SUM(AT9:AW9)</f>
        <v>11881000</v>
      </c>
      <c r="AZ9" s="94">
        <v>-27218000</v>
      </c>
      <c r="BA9" s="94">
        <v>-30436000</v>
      </c>
      <c r="BB9" s="94">
        <v>-29684000</v>
      </c>
      <c r="BC9" s="94">
        <v>-31364000</v>
      </c>
      <c r="BD9" s="94">
        <f>SUM(AZ9:BC9)</f>
        <v>-118702000</v>
      </c>
      <c r="BF9" s="94">
        <v>17365000</v>
      </c>
      <c r="BG9" s="94">
        <v>-6431000</v>
      </c>
      <c r="BH9" s="94">
        <v>-15375000</v>
      </c>
      <c r="BI9" s="94">
        <v>-29392000</v>
      </c>
      <c r="BJ9" s="94">
        <f>SUM(BF9:BI9)</f>
        <v>-33833000</v>
      </c>
      <c r="BL9" s="94">
        <v>-21728000</v>
      </c>
      <c r="BM9" s="94">
        <v>-23968000</v>
      </c>
      <c r="BN9" s="94">
        <v>-11725000</v>
      </c>
      <c r="BO9" s="94">
        <v>-32847000</v>
      </c>
      <c r="BP9" s="94">
        <f>SUM(BL9:BO9)</f>
        <v>-90268000</v>
      </c>
      <c r="BR9" s="94">
        <v>-42140000</v>
      </c>
      <c r="BS9" s="94">
        <v>-40202000</v>
      </c>
      <c r="BT9" s="94">
        <v>-38040000</v>
      </c>
      <c r="BU9" s="94">
        <v>-4129000</v>
      </c>
      <c r="BV9" s="94">
        <f>SUM(BR9:BU9)</f>
        <v>-124511000</v>
      </c>
      <c r="BX9" s="94">
        <v>-3015000</v>
      </c>
      <c r="BY9" s="94">
        <v>20623000</v>
      </c>
      <c r="BZ9" s="94">
        <v>1056400000</v>
      </c>
      <c r="CA9" s="94">
        <v>-45461000</v>
      </c>
      <c r="CB9" s="94">
        <f>SUM(BX9:CA9)</f>
        <v>1028547000</v>
      </c>
      <c r="CD9" s="167"/>
      <c r="CF9" s="94">
        <f t="shared" ref="CF9:CF27" si="2">+AN9</f>
        <v>-7489000</v>
      </c>
      <c r="CG9" s="94">
        <f>SUM($AN9:AO9)</f>
        <v>-5757000</v>
      </c>
      <c r="CH9" s="94">
        <f>SUM($AN9:AP9)</f>
        <v>5453000</v>
      </c>
      <c r="CI9" s="94">
        <f>SUM($AN9:AQ9)</f>
        <v>5453000</v>
      </c>
      <c r="CJ9" s="94">
        <f>+AR9</f>
        <v>5453000</v>
      </c>
      <c r="CL9" s="94">
        <f t="shared" ref="CL9:CL27" si="3">+AT9</f>
        <v>-1586000</v>
      </c>
      <c r="CM9" s="94">
        <f>SUM($AT9:AU9)</f>
        <v>3277000</v>
      </c>
      <c r="CN9" s="94">
        <f>SUM($AT9:AV9)</f>
        <v>17254000</v>
      </c>
      <c r="CO9" s="94">
        <f>SUM($AT9:AW9)</f>
        <v>11881000</v>
      </c>
      <c r="CP9" s="94">
        <f>+AX9</f>
        <v>11881000</v>
      </c>
      <c r="CR9" s="94">
        <f t="shared" ref="CR9:CR17" si="4">+AZ9</f>
        <v>-27218000</v>
      </c>
      <c r="CS9" s="94">
        <f>SUM($AZ9:BA9)</f>
        <v>-57654000</v>
      </c>
      <c r="CT9" s="94">
        <f>SUM($AZ9:BB9)</f>
        <v>-87338000</v>
      </c>
      <c r="CU9" s="94">
        <f>SUM($AZ9:BC9)</f>
        <v>-118702000</v>
      </c>
      <c r="CV9" s="94">
        <f>+BD9</f>
        <v>-118702000</v>
      </c>
      <c r="CX9" s="94">
        <f>+BF9</f>
        <v>17365000</v>
      </c>
      <c r="CY9" s="94">
        <f>SUM($BF9:BG9)</f>
        <v>10934000</v>
      </c>
      <c r="CZ9" s="94">
        <f>SUM($BF9:BH9)</f>
        <v>-4441000</v>
      </c>
      <c r="DA9" s="94">
        <f>SUM($BF9:BI9)</f>
        <v>-33833000</v>
      </c>
      <c r="DB9" s="94">
        <f>+BJ9</f>
        <v>-33833000</v>
      </c>
      <c r="DD9" s="94">
        <f>+BL9</f>
        <v>-21728000</v>
      </c>
      <c r="DE9" s="94">
        <f>SUM($BL9:BM9)</f>
        <v>-45696000</v>
      </c>
      <c r="DF9" s="94">
        <f>SUM($BL9:BN9)</f>
        <v>-57421000</v>
      </c>
      <c r="DG9" s="94">
        <f>SUM($BL9:BO9)</f>
        <v>-90268000</v>
      </c>
      <c r="DH9" s="94">
        <f>+BP9</f>
        <v>-90268000</v>
      </c>
      <c r="DJ9" s="94">
        <f>+BR9</f>
        <v>-42140000</v>
      </c>
      <c r="DK9" s="94">
        <f>SUM($BR9:BS9)</f>
        <v>-82342000</v>
      </c>
      <c r="DL9" s="94">
        <f>SUM($BR9:BT9)</f>
        <v>-120382000</v>
      </c>
      <c r="DM9" s="94">
        <f>SUM($BR9:BU9)</f>
        <v>-124511000</v>
      </c>
      <c r="DN9" s="94">
        <f>+BV9</f>
        <v>-124511000</v>
      </c>
      <c r="DP9" s="94">
        <f>+BX9</f>
        <v>-3015000</v>
      </c>
      <c r="DQ9" s="94">
        <f>SUM($BX9:BY9)</f>
        <v>17608000</v>
      </c>
      <c r="DR9" s="94">
        <f>SUM($BX9:BZ9)</f>
        <v>1074008000</v>
      </c>
      <c r="DS9" s="94">
        <f>SUM($BX9:CA9)</f>
        <v>1028547000</v>
      </c>
      <c r="DT9" s="94">
        <f>+CB9</f>
        <v>1028547000</v>
      </c>
    </row>
    <row r="10" spans="1:124" ht="27.5" customHeight="1" x14ac:dyDescent="0.25">
      <c r="A10" s="252" t="str">
        <f>IF(T10=V10,T10,"Net (earnings) losses from discontinued operations, net of tax")</f>
        <v>Earnings from discontinued operations, net of tax</v>
      </c>
      <c r="B10" s="252" t="str">
        <f>IF(AD10=AF10,AD10,"Net (earnings) losses from discontinued operations, net of tax")</f>
        <v>Earnings from discontinued operations, net of tax</v>
      </c>
      <c r="D10" s="83">
        <f>HLOOKUP(D$7,$AL$7:$CD$75,$AJ10,FALSE)</f>
        <v>-1688000</v>
      </c>
      <c r="F10" s="83">
        <f>HLOOKUP(F$7,$AL$7:$CD$75,$AJ10,FALSE)</f>
        <v>-598000</v>
      </c>
      <c r="H10" s="83">
        <f>HLOOKUP(H$7,$AL$7:$CD$75,$AJ10,FALSE)</f>
        <v>-836000</v>
      </c>
      <c r="J10" s="83">
        <f>HLOOKUP(J$7,$CD$7:$DU$75,$AJ10,FALSE)</f>
        <v>-1688000</v>
      </c>
      <c r="L10" s="83">
        <f>HLOOKUP(L$7,$CD$7:$DU$75,$AJ10,FALSE)</f>
        <v>-985000</v>
      </c>
      <c r="N10" s="83">
        <f>HLOOKUP(N$7,$CD$7:$DU$75,$AJ10,FALSE)</f>
        <v>-836000</v>
      </c>
      <c r="P10" s="198">
        <f>+D10-F10</f>
        <v>-1090000</v>
      </c>
      <c r="R10" s="198">
        <f>+F10-H10</f>
        <v>238000</v>
      </c>
      <c r="T10" s="54" t="str">
        <f>IF(D10&lt;=0,"Earnings from discontinued operations, net of tax","Losses from discontinued operations, net of tax")</f>
        <v>Earnings from discontinued operations, net of tax</v>
      </c>
      <c r="V10" s="54" t="str">
        <f>IF(F10&lt;=0,"Earnings from discontinued operations, net of tax","Losses from discontinued operations, net of tax")</f>
        <v>Earnings from discontinued operations, net of tax</v>
      </c>
      <c r="X10" s="54" t="str">
        <f>IF(H10&lt;=0,"Earnings from discontinued operations, net of tax","Losses from discontinued operations, net of tax")</f>
        <v>Earnings from discontinued operations, net of tax</v>
      </c>
      <c r="Z10" s="198">
        <f t="shared" si="0"/>
        <v>-703000</v>
      </c>
      <c r="AB10" s="198">
        <f t="shared" si="1"/>
        <v>-149000</v>
      </c>
      <c r="AD10" s="54" t="str">
        <f>IF(J10&lt;=0,"Earnings from discontinued operations, net of tax","Losses from discontinued operations, net of tax")</f>
        <v>Earnings from discontinued operations, net of tax</v>
      </c>
      <c r="AF10" s="54" t="str">
        <f>IF(L10&lt;=0,"Earnings from discontinued operations, net of tax","Losses from discontinued operations, net of tax")</f>
        <v>Earnings from discontinued operations, net of tax</v>
      </c>
      <c r="AH10" s="54" t="str">
        <f>IF(N10&lt;=0,"Earnings from discontinued operations, net of tax","Losses from discontinued operations, net of tax")</f>
        <v>Earnings from discontinued operations, net of tax</v>
      </c>
      <c r="AJ10" s="253">
        <f t="shared" ref="AJ10:AJ41" si="5">+AJ9+1</f>
        <v>4</v>
      </c>
      <c r="AL10" s="240"/>
      <c r="AN10" s="94">
        <v>0</v>
      </c>
      <c r="AO10" s="94">
        <v>0</v>
      </c>
      <c r="AP10" s="94">
        <v>-1688000</v>
      </c>
      <c r="AR10" s="94">
        <f>SUM(AN10:AQ10)</f>
        <v>-1688000</v>
      </c>
      <c r="AT10" s="94">
        <v>0</v>
      </c>
      <c r="AU10" s="94">
        <v>-387000</v>
      </c>
      <c r="AV10" s="94">
        <v>-598000</v>
      </c>
      <c r="AW10" s="94">
        <v>-805000</v>
      </c>
      <c r="AX10" s="94">
        <f>SUM(AT10:AW10)</f>
        <v>-1790000</v>
      </c>
      <c r="AZ10" s="94">
        <v>0</v>
      </c>
      <c r="BA10" s="94">
        <v>0</v>
      </c>
      <c r="BB10" s="94">
        <v>-836000</v>
      </c>
      <c r="BC10" s="94">
        <v>-4568000</v>
      </c>
      <c r="BD10" s="94">
        <f>SUM(AZ10:BC10)</f>
        <v>-5404000</v>
      </c>
      <c r="BF10" s="94">
        <v>0</v>
      </c>
      <c r="BG10" s="94">
        <v>0</v>
      </c>
      <c r="BH10" s="94">
        <v>0</v>
      </c>
      <c r="BI10" s="94">
        <v>0</v>
      </c>
      <c r="BJ10" s="94">
        <f>SUM(BF10:BI10)</f>
        <v>0</v>
      </c>
      <c r="BL10" s="94">
        <v>0</v>
      </c>
      <c r="BM10" s="94">
        <v>0</v>
      </c>
      <c r="BN10" s="94">
        <v>0</v>
      </c>
      <c r="BO10" s="94">
        <v>0</v>
      </c>
      <c r="BP10" s="94">
        <f>SUM(BL10:BO10)</f>
        <v>0</v>
      </c>
      <c r="BR10" s="94">
        <v>0</v>
      </c>
      <c r="BS10" s="94">
        <v>0</v>
      </c>
      <c r="BT10" s="94">
        <v>0</v>
      </c>
      <c r="BU10" s="94">
        <v>-750000</v>
      </c>
      <c r="BV10" s="94">
        <f>SUM(BR10:BU10)</f>
        <v>-750000</v>
      </c>
      <c r="BX10" s="94">
        <v>-24803000</v>
      </c>
      <c r="BY10" s="94">
        <v>-61803000</v>
      </c>
      <c r="BZ10" s="94">
        <v>-1071661000</v>
      </c>
      <c r="CA10" s="94">
        <v>-4227000</v>
      </c>
      <c r="CB10" s="94">
        <f>SUM(BX10:CA10)</f>
        <v>-1162494000</v>
      </c>
      <c r="CD10" s="167"/>
      <c r="CF10" s="94">
        <f t="shared" si="2"/>
        <v>0</v>
      </c>
      <c r="CG10" s="94">
        <f>SUM($AN10:AO10)</f>
        <v>0</v>
      </c>
      <c r="CH10" s="94">
        <f>SUM($AN10:AP10)</f>
        <v>-1688000</v>
      </c>
      <c r="CI10" s="94">
        <f>SUM($AN10:AQ10)</f>
        <v>-1688000</v>
      </c>
      <c r="CJ10" s="94">
        <f>+AR10</f>
        <v>-1688000</v>
      </c>
      <c r="CL10" s="94">
        <f t="shared" si="3"/>
        <v>0</v>
      </c>
      <c r="CM10" s="94">
        <f>SUM($AT10:AU10)</f>
        <v>-387000</v>
      </c>
      <c r="CN10" s="94">
        <f>SUM($AT10:AV10)</f>
        <v>-985000</v>
      </c>
      <c r="CO10" s="94">
        <f>SUM($AT10:AW10)</f>
        <v>-1790000</v>
      </c>
      <c r="CP10" s="94">
        <f>+AX10</f>
        <v>-1790000</v>
      </c>
      <c r="CR10" s="94">
        <f t="shared" si="4"/>
        <v>0</v>
      </c>
      <c r="CS10" s="94">
        <f>SUM($AZ10:BA10)</f>
        <v>0</v>
      </c>
      <c r="CT10" s="94">
        <f>SUM($AZ10:BB10)</f>
        <v>-836000</v>
      </c>
      <c r="CU10" s="94">
        <f>SUM($AZ10:BC10)</f>
        <v>-5404000</v>
      </c>
      <c r="CV10" s="94">
        <f>+BD10</f>
        <v>-5404000</v>
      </c>
      <c r="CX10" s="94">
        <f>+BF10</f>
        <v>0</v>
      </c>
      <c r="CY10" s="94">
        <f>SUM($BF10:BG10)</f>
        <v>0</v>
      </c>
      <c r="CZ10" s="94">
        <f>SUM($BF10:BH10)</f>
        <v>0</v>
      </c>
      <c r="DA10" s="94">
        <f>SUM($BF10:BI10)</f>
        <v>0</v>
      </c>
      <c r="DB10" s="94">
        <f>+BJ10</f>
        <v>0</v>
      </c>
      <c r="DD10" s="94">
        <f>+BL10</f>
        <v>0</v>
      </c>
      <c r="DE10" s="94">
        <f>SUM($BL10:BM10)</f>
        <v>0</v>
      </c>
      <c r="DF10" s="94">
        <f>SUM($BL10:BN10)</f>
        <v>0</v>
      </c>
      <c r="DG10" s="94">
        <f>SUM($BL10:BO10)</f>
        <v>0</v>
      </c>
      <c r="DH10" s="94">
        <f>+BP10</f>
        <v>0</v>
      </c>
      <c r="DJ10" s="94">
        <f>+BR10</f>
        <v>0</v>
      </c>
      <c r="DK10" s="94">
        <f>SUM($BR10:BS10)</f>
        <v>0</v>
      </c>
      <c r="DL10" s="94">
        <f>SUM($BR10:BT10)</f>
        <v>0</v>
      </c>
      <c r="DM10" s="94">
        <f>SUM($BR10:BU10)</f>
        <v>-750000</v>
      </c>
      <c r="DN10" s="94">
        <f>+BV10</f>
        <v>-750000</v>
      </c>
      <c r="DP10" s="94">
        <f>+BX10</f>
        <v>-24803000</v>
      </c>
      <c r="DQ10" s="94">
        <f>SUM($BX10:BY10)</f>
        <v>-86606000</v>
      </c>
      <c r="DR10" s="94">
        <f>SUM($BX10:BZ10)</f>
        <v>-1158267000</v>
      </c>
      <c r="DS10" s="94">
        <f>SUM($BX10:CA10)</f>
        <v>-1162494000</v>
      </c>
      <c r="DT10" s="94">
        <f>+CB10</f>
        <v>-1162494000</v>
      </c>
    </row>
    <row r="11" spans="1:124" ht="16.649999999999999" customHeight="1" x14ac:dyDescent="0.25">
      <c r="A11" s="201" t="s">
        <v>338</v>
      </c>
      <c r="B11" s="201" t="s">
        <v>338</v>
      </c>
      <c r="Z11" s="198">
        <f t="shared" si="0"/>
        <v>0</v>
      </c>
      <c r="AB11" s="198">
        <f t="shared" si="1"/>
        <v>0</v>
      </c>
      <c r="AJ11" s="253">
        <f t="shared" si="5"/>
        <v>5</v>
      </c>
      <c r="AL11" s="240"/>
      <c r="CD11" s="167"/>
      <c r="CF11" s="94">
        <f t="shared" si="2"/>
        <v>0</v>
      </c>
      <c r="CL11" s="94">
        <f t="shared" si="3"/>
        <v>0</v>
      </c>
      <c r="CR11" s="94">
        <f t="shared" si="4"/>
        <v>0</v>
      </c>
      <c r="CX11" s="94">
        <f>+BF11</f>
        <v>0</v>
      </c>
      <c r="DD11" s="94">
        <f>+BL11</f>
        <v>0</v>
      </c>
    </row>
    <row r="12" spans="1:124" ht="16.649999999999999" customHeight="1" x14ac:dyDescent="0.25">
      <c r="A12" s="130" t="s">
        <v>339</v>
      </c>
      <c r="B12" s="130" t="s">
        <v>339</v>
      </c>
      <c r="D12" s="83">
        <f t="shared" ref="D12:D20" si="6">HLOOKUP(D$7,$AL$7:$CD$75,$AJ12,FALSE)</f>
        <v>4400000</v>
      </c>
      <c r="F12" s="83">
        <f t="shared" ref="F12:F20" si="7">HLOOKUP(F$7,$AL$7:$CD$75,$AJ12,FALSE)</f>
        <v>1782000</v>
      </c>
      <c r="H12" s="83">
        <f t="shared" ref="H12:H20" si="8">HLOOKUP(H$7,$AL$7:$CD$75,$AJ12,FALSE)</f>
        <v>5131000</v>
      </c>
      <c r="J12" s="83">
        <f t="shared" ref="J12:J20" si="9">HLOOKUP(J$7,$CD$7:$DU$75,$AJ12,FALSE)</f>
        <v>13404000</v>
      </c>
      <c r="L12" s="83">
        <f t="shared" ref="L12:L20" si="10">HLOOKUP(L$7,$CD$7:$DU$75,$AJ12,FALSE)</f>
        <v>7685000</v>
      </c>
      <c r="N12" s="83">
        <f t="shared" ref="N12:N20" si="11">HLOOKUP(N$7,$CD$7:$DU$75,$AJ12,FALSE)</f>
        <v>16561000</v>
      </c>
      <c r="P12" s="198">
        <f t="shared" ref="P12:P20" si="12">+D12-F12</f>
        <v>2618000</v>
      </c>
      <c r="R12" s="198">
        <f t="shared" ref="R12:R20" si="13">+F12-H12</f>
        <v>-3349000</v>
      </c>
      <c r="Z12" s="198">
        <f t="shared" si="0"/>
        <v>5719000</v>
      </c>
      <c r="AB12" s="198">
        <f t="shared" si="1"/>
        <v>-8876000</v>
      </c>
      <c r="AJ12" s="253">
        <f t="shared" si="5"/>
        <v>6</v>
      </c>
      <c r="AL12" s="276"/>
      <c r="AN12" s="94">
        <v>4554000</v>
      </c>
      <c r="AO12" s="94">
        <v>4450000</v>
      </c>
      <c r="AP12" s="94">
        <v>4400000</v>
      </c>
      <c r="AR12" s="94">
        <f t="shared" ref="AR12:AR27" si="14">SUM(AN12:AQ12)</f>
        <v>13404000</v>
      </c>
      <c r="AT12" s="94">
        <v>4039000</v>
      </c>
      <c r="AU12" s="94">
        <v>1864000</v>
      </c>
      <c r="AV12" s="94">
        <v>1782000</v>
      </c>
      <c r="AW12" s="94">
        <v>3823000</v>
      </c>
      <c r="AX12" s="94">
        <f t="shared" ref="AX12:AX27" si="15">SUM(AT12:AW12)</f>
        <v>11508000</v>
      </c>
      <c r="AZ12" s="94">
        <v>5741000</v>
      </c>
      <c r="BA12" s="94">
        <v>5689000</v>
      </c>
      <c r="BB12" s="94">
        <v>5131000</v>
      </c>
      <c r="BC12" s="94">
        <v>4226000</v>
      </c>
      <c r="BD12" s="94">
        <f t="shared" ref="BD12:BD20" si="16">SUM(AZ12:BC12)</f>
        <v>20787000</v>
      </c>
      <c r="BF12" s="94">
        <v>6585000</v>
      </c>
      <c r="BG12" s="94">
        <v>5819000</v>
      </c>
      <c r="BH12" s="94">
        <v>5827000</v>
      </c>
      <c r="BI12" s="94">
        <v>6017000</v>
      </c>
      <c r="BJ12" s="94">
        <f>SUM(BF12:BI12)</f>
        <v>24248000</v>
      </c>
      <c r="BL12" s="94">
        <v>8054000</v>
      </c>
      <c r="BM12" s="94">
        <v>6901000</v>
      </c>
      <c r="BN12" s="94">
        <v>6509000</v>
      </c>
      <c r="BO12" s="94">
        <v>6277000</v>
      </c>
      <c r="BP12" s="94">
        <f>SUM(BL12:BO12)</f>
        <v>27741000</v>
      </c>
      <c r="BR12" s="94">
        <v>8877000</v>
      </c>
      <c r="BS12" s="94">
        <v>10977000</v>
      </c>
      <c r="BT12" s="94">
        <v>8104000</v>
      </c>
      <c r="BU12" s="94">
        <v>7943000</v>
      </c>
      <c r="BV12" s="94">
        <f>SUM(BR12:BU12)</f>
        <v>35901000</v>
      </c>
      <c r="BX12" s="94">
        <f>9403000+8000</f>
        <v>9411000</v>
      </c>
      <c r="BY12" s="94">
        <v>7010000</v>
      </c>
      <c r="BZ12" s="94">
        <v>8853000</v>
      </c>
      <c r="CA12" s="94">
        <v>8508000</v>
      </c>
      <c r="CB12" s="94">
        <f>SUM(BX12:CA12)</f>
        <v>33782000</v>
      </c>
      <c r="CD12" s="167"/>
      <c r="CF12" s="94">
        <f t="shared" si="2"/>
        <v>4554000</v>
      </c>
      <c r="CG12" s="94">
        <f>SUM($AN12:AO12)</f>
        <v>9004000</v>
      </c>
      <c r="CH12" s="94">
        <f>SUM($AN12:AP12)</f>
        <v>13404000</v>
      </c>
      <c r="CI12" s="94">
        <f>SUM($AN12:AQ12)</f>
        <v>13404000</v>
      </c>
      <c r="CJ12" s="94">
        <f t="shared" ref="CJ12:CJ27" si="17">+AR12</f>
        <v>13404000</v>
      </c>
      <c r="CL12" s="94">
        <f t="shared" si="3"/>
        <v>4039000</v>
      </c>
      <c r="CM12" s="94">
        <f>SUM($AT12:AU12)</f>
        <v>5903000</v>
      </c>
      <c r="CN12" s="94">
        <f>SUM($AT12:AV12)</f>
        <v>7685000</v>
      </c>
      <c r="CO12" s="94">
        <f>SUM($AT12:AW12)</f>
        <v>11508000</v>
      </c>
      <c r="CP12" s="94">
        <f t="shared" ref="CP12:CP27" si="18">+AX12</f>
        <v>11508000</v>
      </c>
      <c r="CR12" s="94">
        <f t="shared" si="4"/>
        <v>5741000</v>
      </c>
      <c r="CS12" s="94">
        <f>SUM($AZ12:BA12)</f>
        <v>11430000</v>
      </c>
      <c r="CT12" s="94">
        <f>SUM($AZ12:BB12)</f>
        <v>16561000</v>
      </c>
      <c r="CU12" s="94">
        <f>SUM($AZ12:BC12)</f>
        <v>20787000</v>
      </c>
      <c r="CV12" s="94">
        <f t="shared" ref="CV12:CV17" si="19">+BD12</f>
        <v>20787000</v>
      </c>
      <c r="CX12" s="94">
        <f>+BF12</f>
        <v>6585000</v>
      </c>
      <c r="CY12" s="94">
        <f>SUM($BF12:BG12)</f>
        <v>12404000</v>
      </c>
      <c r="CZ12" s="94">
        <f>SUM($BF12:BH12)</f>
        <v>18231000</v>
      </c>
      <c r="DA12" s="94">
        <f>SUM($BF12:BI12)</f>
        <v>24248000</v>
      </c>
      <c r="DB12" s="94">
        <f>+BJ12</f>
        <v>24248000</v>
      </c>
      <c r="DD12" s="94">
        <f>+BL12</f>
        <v>8054000</v>
      </c>
      <c r="DE12" s="94">
        <f>SUM($BL12:BM12)</f>
        <v>14955000</v>
      </c>
      <c r="DF12" s="94">
        <f>SUM($BL12:BN12)</f>
        <v>21464000</v>
      </c>
      <c r="DG12" s="94">
        <f>SUM($BL12:BO12)</f>
        <v>27741000</v>
      </c>
      <c r="DH12" s="94">
        <f>+BP12</f>
        <v>27741000</v>
      </c>
      <c r="DJ12" s="94">
        <f>+BR12</f>
        <v>8877000</v>
      </c>
      <c r="DK12" s="94">
        <f>SUM($BR12:BS12)</f>
        <v>19854000</v>
      </c>
      <c r="DL12" s="94">
        <f>SUM($BR12:BT12)</f>
        <v>27958000</v>
      </c>
      <c r="DM12" s="94">
        <f>SUM($BR12:BU12)</f>
        <v>35901000</v>
      </c>
      <c r="DN12" s="94">
        <f>+BV12</f>
        <v>35901000</v>
      </c>
      <c r="DP12" s="94">
        <f>+BX12</f>
        <v>9411000</v>
      </c>
      <c r="DQ12" s="94">
        <f>SUM($BX12:BY12)</f>
        <v>16421000</v>
      </c>
      <c r="DR12" s="94">
        <f>SUM($BX12:BZ12)</f>
        <v>25274000</v>
      </c>
      <c r="DS12" s="94">
        <f>SUM($BX12:CA12)</f>
        <v>33782000</v>
      </c>
      <c r="DT12" s="94">
        <f>+CB12</f>
        <v>33782000</v>
      </c>
    </row>
    <row r="13" spans="1:124" ht="32.5" customHeight="1" x14ac:dyDescent="0.25">
      <c r="A13" s="130" t="str">
        <f>IF(T13=V13,T13,"Loss (gain) on disposal or impairment of assets")</f>
        <v>Loss on disposal or impairment of assets</v>
      </c>
      <c r="B13" s="130" t="str">
        <f>IF(AD13=AF13,AD13,"Loss (gain) on disposal or impairment of assets")</f>
        <v>Loss on disposal or impairment of assets</v>
      </c>
      <c r="D13" s="83">
        <f t="shared" si="6"/>
        <v>99000</v>
      </c>
      <c r="F13" s="83">
        <f t="shared" si="7"/>
        <v>911000</v>
      </c>
      <c r="H13" s="83">
        <f t="shared" si="8"/>
        <v>4124000</v>
      </c>
      <c r="J13" s="83">
        <f t="shared" si="9"/>
        <v>119000</v>
      </c>
      <c r="L13" s="83">
        <f t="shared" si="10"/>
        <v>1213000</v>
      </c>
      <c r="N13" s="83">
        <f t="shared" si="11"/>
        <v>4121000</v>
      </c>
      <c r="P13" s="198">
        <f t="shared" si="12"/>
        <v>-812000</v>
      </c>
      <c r="R13" s="198">
        <f t="shared" si="13"/>
        <v>-3213000</v>
      </c>
      <c r="T13" s="54" t="str">
        <f>IF(D13&gt;0,"Loss on disposal or impairment of assets","Gain on disposal or impairment of assets")</f>
        <v>Loss on disposal or impairment of assets</v>
      </c>
      <c r="V13" s="54" t="str">
        <f>IF(F13&gt;0,"Loss on disposal or impairment of assets","Gain on disposal or impairment of assets")</f>
        <v>Loss on disposal or impairment of assets</v>
      </c>
      <c r="X13" s="54" t="str">
        <f>IF(H13&gt;0,"Loss on disposal or impairment of assets","Gain on disposal or impairment of assets")</f>
        <v>Loss on disposal or impairment of assets</v>
      </c>
      <c r="Z13" s="198">
        <f t="shared" si="0"/>
        <v>-1094000</v>
      </c>
      <c r="AB13" s="198">
        <f t="shared" si="1"/>
        <v>-2908000</v>
      </c>
      <c r="AD13" s="54" t="str">
        <f>IF(J13&gt;0,"Loss on disposal or impairment of assets","Gain on disposal or impairment of assets")</f>
        <v>Loss on disposal or impairment of assets</v>
      </c>
      <c r="AF13" s="54" t="str">
        <f>IF(L13&gt;0,"Loss on disposal or impairment of assets","Gain on disposal or impairment of assets")</f>
        <v>Loss on disposal or impairment of assets</v>
      </c>
      <c r="AH13" s="54" t="str">
        <f>IF(N13&gt;0,"Loss on disposal or impairment of assets","Gain on disposal or impairment of assets")</f>
        <v>Loss on disposal or impairment of assets</v>
      </c>
      <c r="AJ13" s="253">
        <f t="shared" si="5"/>
        <v>7</v>
      </c>
      <c r="AL13" s="276"/>
      <c r="AN13" s="94">
        <v>5000</v>
      </c>
      <c r="AO13" s="94">
        <v>15000</v>
      </c>
      <c r="AP13" s="94">
        <v>99000</v>
      </c>
      <c r="AR13" s="94">
        <f t="shared" si="14"/>
        <v>119000</v>
      </c>
      <c r="AT13" s="94">
        <v>308000</v>
      </c>
      <c r="AU13" s="94">
        <v>-6000</v>
      </c>
      <c r="AV13" s="94">
        <v>911000</v>
      </c>
      <c r="AW13" s="94">
        <v>6000</v>
      </c>
      <c r="AX13" s="94">
        <f t="shared" si="15"/>
        <v>1219000</v>
      </c>
      <c r="AZ13" s="94">
        <v>-5000</v>
      </c>
      <c r="BA13" s="94">
        <v>2000</v>
      </c>
      <c r="BB13" s="94">
        <v>4124000</v>
      </c>
      <c r="BC13" s="94">
        <v>16000</v>
      </c>
      <c r="BD13" s="94">
        <f t="shared" si="16"/>
        <v>4137000</v>
      </c>
      <c r="BF13" s="94">
        <v>113000</v>
      </c>
      <c r="BG13" s="94">
        <v>29000</v>
      </c>
      <c r="BH13" s="94">
        <v>0</v>
      </c>
      <c r="BI13" s="94">
        <v>41000</v>
      </c>
      <c r="BJ13" s="94">
        <f>SUM(BF13:BI13)</f>
        <v>183000</v>
      </c>
      <c r="BL13" s="94">
        <v>2000</v>
      </c>
      <c r="BM13" s="94">
        <v>331000</v>
      </c>
      <c r="BN13" s="94">
        <v>1000</v>
      </c>
      <c r="BO13" s="94">
        <v>54000</v>
      </c>
      <c r="BP13" s="94">
        <f>SUM(BL13:BO13)</f>
        <v>388000</v>
      </c>
      <c r="BR13" s="94">
        <v>85000</v>
      </c>
      <c r="BS13" s="94">
        <v>-225000</v>
      </c>
      <c r="BT13" s="94">
        <v>0</v>
      </c>
      <c r="BU13" s="94">
        <v>1865000</v>
      </c>
      <c r="BV13" s="94">
        <f>SUM(BR13:BU13)</f>
        <v>1725000</v>
      </c>
      <c r="BX13" s="94">
        <v>-15000</v>
      </c>
      <c r="BY13" s="94">
        <v>490000</v>
      </c>
      <c r="BZ13" s="94">
        <v>2870000</v>
      </c>
      <c r="CA13" s="94">
        <v>115000</v>
      </c>
      <c r="CB13" s="94">
        <f>SUM(BX13:CA13)</f>
        <v>3460000</v>
      </c>
      <c r="CD13" s="167"/>
      <c r="CF13" s="94">
        <f t="shared" si="2"/>
        <v>5000</v>
      </c>
      <c r="CG13" s="94">
        <f>SUM($AN13:AO13)</f>
        <v>20000</v>
      </c>
      <c r="CH13" s="94">
        <f>SUM($AN13:AP13)</f>
        <v>119000</v>
      </c>
      <c r="CI13" s="94">
        <f>SUM($AN13:AQ13)</f>
        <v>119000</v>
      </c>
      <c r="CJ13" s="94">
        <f t="shared" si="17"/>
        <v>119000</v>
      </c>
      <c r="CL13" s="94">
        <f t="shared" si="3"/>
        <v>308000</v>
      </c>
      <c r="CM13" s="94">
        <f>SUM($AT13:AU13)</f>
        <v>302000</v>
      </c>
      <c r="CN13" s="94">
        <f>SUM($AT13:AV13)</f>
        <v>1213000</v>
      </c>
      <c r="CO13" s="94">
        <f>SUM($AT13:AW13)</f>
        <v>1219000</v>
      </c>
      <c r="CP13" s="94">
        <f t="shared" si="18"/>
        <v>1219000</v>
      </c>
      <c r="CR13" s="94">
        <f t="shared" si="4"/>
        <v>-5000</v>
      </c>
      <c r="CS13" s="94">
        <f>SUM($AZ13:BA13)</f>
        <v>-3000</v>
      </c>
      <c r="CT13" s="94">
        <f>SUM($AZ13:BB13)</f>
        <v>4121000</v>
      </c>
      <c r="CU13" s="94">
        <f>SUM($AZ13:BC13)</f>
        <v>4137000</v>
      </c>
      <c r="CV13" s="94">
        <f t="shared" si="19"/>
        <v>4137000</v>
      </c>
      <c r="CX13" s="94">
        <f>+BF13</f>
        <v>113000</v>
      </c>
      <c r="CY13" s="94">
        <f>SUM($BF13:BG13)</f>
        <v>142000</v>
      </c>
      <c r="CZ13" s="94">
        <f>SUM($BF13:BH13)</f>
        <v>142000</v>
      </c>
      <c r="DA13" s="94">
        <f>SUM($BF13:BI13)</f>
        <v>183000</v>
      </c>
      <c r="DB13" s="94">
        <f>+BJ13</f>
        <v>183000</v>
      </c>
      <c r="DD13" s="94">
        <f>+BL13</f>
        <v>2000</v>
      </c>
      <c r="DE13" s="94">
        <f>SUM($BL13:BM13)</f>
        <v>333000</v>
      </c>
      <c r="DF13" s="94">
        <f>SUM($BL13:BN13)</f>
        <v>334000</v>
      </c>
      <c r="DG13" s="94">
        <f>SUM($BL13:BO13)</f>
        <v>388000</v>
      </c>
      <c r="DH13" s="94">
        <f>+BP13</f>
        <v>388000</v>
      </c>
      <c r="DJ13" s="94">
        <f>+BR13</f>
        <v>85000</v>
      </c>
      <c r="DK13" s="94">
        <f>SUM($BR13:BS13)</f>
        <v>-140000</v>
      </c>
      <c r="DL13" s="94">
        <f>SUM($BR13:BT13)</f>
        <v>-140000</v>
      </c>
      <c r="DM13" s="94">
        <f>SUM($BR13:BU13)</f>
        <v>1725000</v>
      </c>
      <c r="DN13" s="94">
        <f>+BV13</f>
        <v>1725000</v>
      </c>
      <c r="DP13" s="94">
        <f>+BX13</f>
        <v>-15000</v>
      </c>
      <c r="DQ13" s="94">
        <f>SUM($BX13:BY13)</f>
        <v>475000</v>
      </c>
      <c r="DR13" s="94">
        <f>SUM($BX13:BZ13)</f>
        <v>3345000</v>
      </c>
      <c r="DS13" s="94">
        <f>SUM($BX13:CA13)</f>
        <v>3460000</v>
      </c>
      <c r="DT13" s="94">
        <f>+CB13</f>
        <v>3460000</v>
      </c>
    </row>
    <row r="14" spans="1:124" ht="27.5" customHeight="1" x14ac:dyDescent="0.25">
      <c r="A14" s="130" t="s">
        <v>340</v>
      </c>
      <c r="B14" s="130" t="s">
        <v>340</v>
      </c>
      <c r="D14" s="83">
        <f t="shared" si="6"/>
        <v>0</v>
      </c>
      <c r="F14" s="83">
        <f t="shared" si="7"/>
        <v>0</v>
      </c>
      <c r="H14" s="83">
        <f t="shared" si="8"/>
        <v>5940000</v>
      </c>
      <c r="J14" s="83">
        <f t="shared" si="9"/>
        <v>-36000</v>
      </c>
      <c r="L14" s="83">
        <f t="shared" si="10"/>
        <v>2315000</v>
      </c>
      <c r="N14" s="83">
        <f t="shared" si="11"/>
        <v>18165000</v>
      </c>
      <c r="P14" s="198">
        <f t="shared" si="12"/>
        <v>0</v>
      </c>
      <c r="R14" s="198">
        <f t="shared" si="13"/>
        <v>-5940000</v>
      </c>
      <c r="Z14" s="198">
        <f t="shared" si="0"/>
        <v>-2351000</v>
      </c>
      <c r="AB14" s="198">
        <f t="shared" si="1"/>
        <v>-15850000</v>
      </c>
      <c r="AJ14" s="253">
        <f t="shared" si="5"/>
        <v>8</v>
      </c>
      <c r="AL14" s="276"/>
      <c r="AN14" s="94">
        <v>-36000</v>
      </c>
      <c r="AO14" s="94">
        <v>0</v>
      </c>
      <c r="AP14" s="94">
        <v>0</v>
      </c>
      <c r="AR14" s="94">
        <f t="shared" si="14"/>
        <v>-36000</v>
      </c>
      <c r="AT14" s="94">
        <v>0</v>
      </c>
      <c r="AU14" s="94">
        <v>2315000</v>
      </c>
      <c r="AV14" s="94">
        <v>0</v>
      </c>
      <c r="AW14" s="94">
        <v>-546000</v>
      </c>
      <c r="AX14" s="94">
        <f t="shared" si="15"/>
        <v>1769000</v>
      </c>
      <c r="AZ14" s="94">
        <v>0</v>
      </c>
      <c r="BA14" s="94">
        <v>12225000</v>
      </c>
      <c r="BB14" s="94">
        <v>5940000</v>
      </c>
      <c r="BC14" s="94">
        <v>9380000</v>
      </c>
      <c r="BD14" s="94">
        <f t="shared" si="16"/>
        <v>27545000</v>
      </c>
      <c r="CD14" s="167"/>
      <c r="CF14" s="94">
        <f t="shared" si="2"/>
        <v>-36000</v>
      </c>
      <c r="CG14" s="94">
        <f>SUM($AN14:AO14)</f>
        <v>-36000</v>
      </c>
      <c r="CH14" s="94">
        <f>SUM($AN14:AP14)</f>
        <v>-36000</v>
      </c>
      <c r="CI14" s="94">
        <f>SUM($AN14:AQ14)</f>
        <v>-36000</v>
      </c>
      <c r="CJ14" s="94">
        <f t="shared" si="17"/>
        <v>-36000</v>
      </c>
      <c r="CL14" s="94">
        <f t="shared" si="3"/>
        <v>0</v>
      </c>
      <c r="CM14" s="94">
        <f>SUM($AT14:AU14)</f>
        <v>2315000</v>
      </c>
      <c r="CN14" s="94">
        <f>SUM($AT14:AV14)</f>
        <v>2315000</v>
      </c>
      <c r="CO14" s="94">
        <f>SUM($AT14:AW14)</f>
        <v>1769000</v>
      </c>
      <c r="CP14" s="94">
        <f t="shared" si="18"/>
        <v>1769000</v>
      </c>
      <c r="CR14" s="94">
        <f t="shared" si="4"/>
        <v>0</v>
      </c>
      <c r="CS14" s="94">
        <f>SUM($AZ14:BA14)</f>
        <v>12225000</v>
      </c>
      <c r="CT14" s="94">
        <f>SUM($AZ14:BB14)</f>
        <v>18165000</v>
      </c>
      <c r="CU14" s="94">
        <f>SUM($AZ14:BC14)</f>
        <v>27545000</v>
      </c>
      <c r="CV14" s="94">
        <f t="shared" si="19"/>
        <v>27545000</v>
      </c>
    </row>
    <row r="15" spans="1:124" ht="27.5" customHeight="1" x14ac:dyDescent="0.25">
      <c r="A15" s="130" t="s">
        <v>341</v>
      </c>
      <c r="B15" s="130" t="s">
        <v>341</v>
      </c>
      <c r="D15" s="83">
        <f t="shared" si="6"/>
        <v>0</v>
      </c>
      <c r="F15" s="83">
        <f t="shared" si="7"/>
        <v>0</v>
      </c>
      <c r="H15" s="83">
        <f t="shared" si="8"/>
        <v>0</v>
      </c>
      <c r="J15" s="83">
        <f t="shared" si="9"/>
        <v>0</v>
      </c>
      <c r="L15" s="83">
        <f t="shared" si="10"/>
        <v>0</v>
      </c>
      <c r="N15" s="83">
        <f t="shared" si="11"/>
        <v>-194000</v>
      </c>
      <c r="P15" s="198">
        <f t="shared" si="12"/>
        <v>0</v>
      </c>
      <c r="R15" s="198">
        <f t="shared" si="13"/>
        <v>0</v>
      </c>
      <c r="Z15" s="198">
        <f t="shared" si="0"/>
        <v>0</v>
      </c>
      <c r="AB15" s="198">
        <f t="shared" si="1"/>
        <v>194000</v>
      </c>
      <c r="AJ15" s="253">
        <f t="shared" si="5"/>
        <v>9</v>
      </c>
      <c r="AL15" s="276"/>
      <c r="AN15" s="94">
        <v>0</v>
      </c>
      <c r="AR15" s="94">
        <f t="shared" si="14"/>
        <v>0</v>
      </c>
      <c r="AT15" s="94">
        <v>0</v>
      </c>
      <c r="AV15" s="94">
        <v>0</v>
      </c>
      <c r="AX15" s="94">
        <f t="shared" si="15"/>
        <v>0</v>
      </c>
      <c r="BA15" s="94">
        <v>-194000</v>
      </c>
      <c r="BC15" s="94">
        <v>0</v>
      </c>
      <c r="BD15" s="94">
        <f t="shared" si="16"/>
        <v>-194000</v>
      </c>
      <c r="CD15" s="167"/>
      <c r="CF15" s="94">
        <f t="shared" si="2"/>
        <v>0</v>
      </c>
      <c r="CG15" s="94">
        <f>SUM($AN15:AO15)</f>
        <v>0</v>
      </c>
      <c r="CH15" s="94">
        <f>SUM($AN15:AP15)</f>
        <v>0</v>
      </c>
      <c r="CI15" s="94">
        <f>SUM($AN15:AQ15)</f>
        <v>0</v>
      </c>
      <c r="CJ15" s="94">
        <f t="shared" si="17"/>
        <v>0</v>
      </c>
      <c r="CL15" s="94">
        <f t="shared" si="3"/>
        <v>0</v>
      </c>
      <c r="CM15" s="94">
        <f>SUM($AT15:AU15)</f>
        <v>0</v>
      </c>
      <c r="CN15" s="94">
        <f>SUM($AT15:AV15)</f>
        <v>0</v>
      </c>
      <c r="CO15" s="94">
        <f>SUM($AT15:AW15)</f>
        <v>0</v>
      </c>
      <c r="CP15" s="94">
        <f t="shared" si="18"/>
        <v>0</v>
      </c>
      <c r="CR15" s="94">
        <f t="shared" si="4"/>
        <v>0</v>
      </c>
      <c r="CS15" s="94">
        <f>SUM($AZ15:BA15)</f>
        <v>-194000</v>
      </c>
      <c r="CT15" s="94">
        <f>SUM($AZ15:BB15)</f>
        <v>-194000</v>
      </c>
      <c r="CU15" s="94">
        <f>SUM($AZ15:BC15)</f>
        <v>-194000</v>
      </c>
      <c r="CV15" s="94">
        <f t="shared" si="19"/>
        <v>-194000</v>
      </c>
    </row>
    <row r="16" spans="1:124" ht="27.5" customHeight="1" x14ac:dyDescent="0.25">
      <c r="A16" s="130" t="s">
        <v>342</v>
      </c>
      <c r="B16" s="130" t="s">
        <v>342</v>
      </c>
      <c r="D16" s="83">
        <f t="shared" si="6"/>
        <v>0</v>
      </c>
      <c r="F16" s="83">
        <f t="shared" si="7"/>
        <v>0</v>
      </c>
      <c r="H16" s="83">
        <f t="shared" si="8"/>
        <v>0</v>
      </c>
      <c r="J16" s="83">
        <f t="shared" si="9"/>
        <v>0</v>
      </c>
      <c r="L16" s="83">
        <f t="shared" si="10"/>
        <v>0</v>
      </c>
      <c r="N16" s="83">
        <f t="shared" si="11"/>
        <v>0</v>
      </c>
      <c r="P16" s="198">
        <f t="shared" si="12"/>
        <v>0</v>
      </c>
      <c r="R16" s="198">
        <f t="shared" si="13"/>
        <v>0</v>
      </c>
      <c r="Z16" s="198">
        <f t="shared" si="0"/>
        <v>0</v>
      </c>
      <c r="AB16" s="198">
        <f t="shared" si="1"/>
        <v>0</v>
      </c>
      <c r="AJ16" s="253">
        <f t="shared" si="5"/>
        <v>10</v>
      </c>
      <c r="AL16" s="276"/>
      <c r="AN16" s="94">
        <v>0</v>
      </c>
      <c r="AR16" s="94">
        <f t="shared" si="14"/>
        <v>0</v>
      </c>
      <c r="AT16" s="94">
        <v>0</v>
      </c>
      <c r="AV16" s="94">
        <v>0</v>
      </c>
      <c r="AX16" s="94">
        <f t="shared" si="15"/>
        <v>0</v>
      </c>
      <c r="AZ16" s="94">
        <v>0</v>
      </c>
      <c r="BA16" s="94">
        <v>0</v>
      </c>
      <c r="BB16" s="94">
        <v>0</v>
      </c>
      <c r="BC16" s="94">
        <v>0</v>
      </c>
      <c r="BD16" s="94">
        <f t="shared" si="16"/>
        <v>0</v>
      </c>
      <c r="BF16" s="94">
        <v>-30052000</v>
      </c>
      <c r="BG16" s="94">
        <v>0</v>
      </c>
      <c r="BH16" s="94">
        <v>-183000</v>
      </c>
      <c r="BI16" s="94">
        <v>0</v>
      </c>
      <c r="BJ16" s="94">
        <f>SUM(BF16:BI16)</f>
        <v>-30235000</v>
      </c>
      <c r="BL16" s="94">
        <v>0</v>
      </c>
      <c r="BM16" s="94">
        <v>0</v>
      </c>
      <c r="BN16" s="94">
        <v>0</v>
      </c>
      <c r="BO16" s="94">
        <v>0</v>
      </c>
      <c r="BP16" s="94">
        <f>SUM(BL16:BO16)</f>
        <v>0</v>
      </c>
      <c r="BR16" s="94">
        <v>0</v>
      </c>
      <c r="BS16" s="94">
        <v>0</v>
      </c>
      <c r="BT16" s="94">
        <v>0</v>
      </c>
      <c r="BU16" s="94">
        <v>0</v>
      </c>
      <c r="BV16" s="94">
        <f>SUM(BR16:BU16)</f>
        <v>0</v>
      </c>
      <c r="CD16" s="167"/>
      <c r="CF16" s="94">
        <f t="shared" si="2"/>
        <v>0</v>
      </c>
      <c r="CG16" s="94">
        <f>SUM($AN16:AO16)</f>
        <v>0</v>
      </c>
      <c r="CH16" s="94">
        <f>SUM($AN16:AP16)</f>
        <v>0</v>
      </c>
      <c r="CI16" s="94">
        <f>SUM($AN16:AQ16)</f>
        <v>0</v>
      </c>
      <c r="CJ16" s="94">
        <f t="shared" si="17"/>
        <v>0</v>
      </c>
      <c r="CL16" s="94">
        <f t="shared" si="3"/>
        <v>0</v>
      </c>
      <c r="CM16" s="94">
        <f>SUM($AT16:AU16)</f>
        <v>0</v>
      </c>
      <c r="CN16" s="94">
        <f>SUM($AT16:AV16)</f>
        <v>0</v>
      </c>
      <c r="CO16" s="94">
        <f>SUM($AT16:AW16)</f>
        <v>0</v>
      </c>
      <c r="CP16" s="94">
        <f t="shared" si="18"/>
        <v>0</v>
      </c>
      <c r="CR16" s="94">
        <f t="shared" si="4"/>
        <v>0</v>
      </c>
      <c r="CS16" s="94">
        <f>SUM($AZ16:BA16)</f>
        <v>0</v>
      </c>
      <c r="CT16" s="94">
        <f>SUM($AZ16:BB16)</f>
        <v>0</v>
      </c>
      <c r="CU16" s="94">
        <f>SUM($AZ16:BC16)</f>
        <v>0</v>
      </c>
      <c r="CV16" s="94">
        <f t="shared" si="19"/>
        <v>0</v>
      </c>
      <c r="CX16" s="94">
        <v>-30052000</v>
      </c>
      <c r="CY16" s="94">
        <f>SUM($BF16:BG16)</f>
        <v>-30052000</v>
      </c>
      <c r="CZ16" s="94">
        <f>SUM($BF16:BH16)</f>
        <v>-30235000</v>
      </c>
      <c r="DA16" s="94">
        <f>SUM($BF16:BI16)</f>
        <v>-30235000</v>
      </c>
      <c r="DB16" s="94">
        <f>+BJ16</f>
        <v>-30235000</v>
      </c>
    </row>
    <row r="17" spans="1:124" ht="16.649999999999999" customHeight="1" x14ac:dyDescent="0.25">
      <c r="A17" s="130" t="s">
        <v>343</v>
      </c>
      <c r="B17" s="130" t="s">
        <v>343</v>
      </c>
      <c r="D17" s="83">
        <f t="shared" si="6"/>
        <v>-97000</v>
      </c>
      <c r="F17" s="83">
        <f t="shared" si="7"/>
        <v>544000</v>
      </c>
      <c r="H17" s="83">
        <f t="shared" si="8"/>
        <v>613000</v>
      </c>
      <c r="J17" s="83">
        <f t="shared" si="9"/>
        <v>1148000</v>
      </c>
      <c r="L17" s="83">
        <f t="shared" si="10"/>
        <v>307000</v>
      </c>
      <c r="N17" s="83">
        <f t="shared" si="11"/>
        <v>1728000</v>
      </c>
      <c r="P17" s="198">
        <f t="shared" si="12"/>
        <v>-641000</v>
      </c>
      <c r="R17" s="198">
        <f t="shared" si="13"/>
        <v>-69000</v>
      </c>
      <c r="Z17" s="198">
        <f t="shared" si="0"/>
        <v>841000</v>
      </c>
      <c r="AB17" s="198">
        <f t="shared" si="1"/>
        <v>-1421000</v>
      </c>
      <c r="AJ17" s="253">
        <f t="shared" si="5"/>
        <v>11</v>
      </c>
      <c r="AL17" s="276"/>
      <c r="AN17" s="94">
        <v>550000</v>
      </c>
      <c r="AO17" s="94">
        <v>695000</v>
      </c>
      <c r="AP17" s="94">
        <v>-97000</v>
      </c>
      <c r="AR17" s="94">
        <f t="shared" si="14"/>
        <v>1148000</v>
      </c>
      <c r="AT17" s="94">
        <v>-219000</v>
      </c>
      <c r="AU17" s="94">
        <v>-18000</v>
      </c>
      <c r="AV17" s="94">
        <v>544000</v>
      </c>
      <c r="AW17" s="94">
        <v>1947000</v>
      </c>
      <c r="AX17" s="94">
        <f t="shared" si="15"/>
        <v>2254000</v>
      </c>
      <c r="AZ17" s="94">
        <v>997000</v>
      </c>
      <c r="BA17" s="94">
        <v>118000</v>
      </c>
      <c r="BB17" s="94">
        <v>613000</v>
      </c>
      <c r="BC17" s="94">
        <v>48000</v>
      </c>
      <c r="BD17" s="94">
        <f t="shared" si="16"/>
        <v>1776000</v>
      </c>
      <c r="BF17" s="94">
        <v>955000</v>
      </c>
      <c r="BG17" s="94">
        <v>327000</v>
      </c>
      <c r="BH17" s="94">
        <v>1845000</v>
      </c>
      <c r="BI17" s="94">
        <v>1090000</v>
      </c>
      <c r="BJ17" s="94">
        <f>SUM(BF17:BI17)</f>
        <v>4217000</v>
      </c>
      <c r="BL17" s="94">
        <v>1330000</v>
      </c>
      <c r="BM17" s="94">
        <v>1192000</v>
      </c>
      <c r="BN17" s="94">
        <v>824000</v>
      </c>
      <c r="BO17" s="94">
        <v>-431000</v>
      </c>
      <c r="BP17" s="94">
        <f>SUM(BL17:BO17)</f>
        <v>2915000</v>
      </c>
      <c r="BR17" s="94">
        <v>962000</v>
      </c>
      <c r="BS17" s="94">
        <v>1468000</v>
      </c>
      <c r="BT17" s="94">
        <v>1253000</v>
      </c>
      <c r="BU17" s="94">
        <v>3450000</v>
      </c>
      <c r="BV17" s="94">
        <f>SUM(BR17:BU17)</f>
        <v>7133000</v>
      </c>
      <c r="BX17" s="94">
        <v>-464000</v>
      </c>
      <c r="BY17" s="94">
        <v>1095000</v>
      </c>
      <c r="BZ17" s="94">
        <v>628000</v>
      </c>
      <c r="CA17" s="94">
        <v>1810000</v>
      </c>
      <c r="CB17" s="94">
        <f>SUM(BX17:CA17)</f>
        <v>3069000</v>
      </c>
      <c r="CD17" s="167"/>
      <c r="CF17" s="94">
        <f t="shared" si="2"/>
        <v>550000</v>
      </c>
      <c r="CG17" s="94">
        <f>SUM($AN17:AO17)</f>
        <v>1245000</v>
      </c>
      <c r="CH17" s="94">
        <f>SUM($AN17:AP17)</f>
        <v>1148000</v>
      </c>
      <c r="CI17" s="94">
        <f>SUM($AN17:AQ17)</f>
        <v>1148000</v>
      </c>
      <c r="CJ17" s="94">
        <f t="shared" si="17"/>
        <v>1148000</v>
      </c>
      <c r="CL17" s="94">
        <f t="shared" si="3"/>
        <v>-219000</v>
      </c>
      <c r="CM17" s="94">
        <f>SUM($AT17:AU17)</f>
        <v>-237000</v>
      </c>
      <c r="CN17" s="94">
        <f>SUM($AT17:AV17)</f>
        <v>307000</v>
      </c>
      <c r="CO17" s="94">
        <f>SUM($AT17:AW17)</f>
        <v>2254000</v>
      </c>
      <c r="CP17" s="94">
        <f t="shared" si="18"/>
        <v>2254000</v>
      </c>
      <c r="CR17" s="94">
        <f t="shared" si="4"/>
        <v>997000</v>
      </c>
      <c r="CS17" s="94">
        <f>SUM($AZ17:BA17)</f>
        <v>1115000</v>
      </c>
      <c r="CT17" s="94">
        <f>SUM($AZ17:BB17)</f>
        <v>1728000</v>
      </c>
      <c r="CU17" s="94">
        <f>SUM($AZ17:BC17)</f>
        <v>1776000</v>
      </c>
      <c r="CV17" s="94">
        <f t="shared" si="19"/>
        <v>1776000</v>
      </c>
      <c r="CX17" s="94">
        <f>+BF17</f>
        <v>955000</v>
      </c>
      <c r="CY17" s="94">
        <f>SUM($BF17:BG17)</f>
        <v>1282000</v>
      </c>
      <c r="CZ17" s="94">
        <f>SUM($BF17:BH17)</f>
        <v>3127000</v>
      </c>
      <c r="DA17" s="94">
        <f>SUM($BF17:BI17)</f>
        <v>4217000</v>
      </c>
      <c r="DB17" s="94">
        <f>+BJ17</f>
        <v>4217000</v>
      </c>
      <c r="DD17" s="94">
        <f>+BL17</f>
        <v>1330000</v>
      </c>
      <c r="DE17" s="94">
        <f>SUM($BL17:BM17)</f>
        <v>2522000</v>
      </c>
      <c r="DF17" s="94">
        <f>SUM($BL17:BN17)</f>
        <v>3346000</v>
      </c>
      <c r="DG17" s="94">
        <f>SUM($BL17:BO17)</f>
        <v>2915000</v>
      </c>
      <c r="DH17" s="94">
        <f>+BP17</f>
        <v>2915000</v>
      </c>
      <c r="DJ17" s="94">
        <f>+BR17</f>
        <v>962000</v>
      </c>
      <c r="DK17" s="94">
        <f>SUM($BR17:BS17)</f>
        <v>2430000</v>
      </c>
      <c r="DL17" s="94">
        <f>SUM($BR17:BT17)</f>
        <v>3683000</v>
      </c>
      <c r="DM17" s="94">
        <f>SUM($BR17:BU17)</f>
        <v>7133000</v>
      </c>
      <c r="DN17" s="94">
        <f>+BV17</f>
        <v>7133000</v>
      </c>
      <c r="DP17" s="94">
        <f>+BX17</f>
        <v>-464000</v>
      </c>
      <c r="DQ17" s="94">
        <f>SUM($BX17:BY17)</f>
        <v>631000</v>
      </c>
      <c r="DR17" s="94">
        <f>SUM($BX17:BZ17)</f>
        <v>1259000</v>
      </c>
      <c r="DS17" s="94">
        <f>SUM($BX17:CA17)</f>
        <v>3069000</v>
      </c>
      <c r="DT17" s="94">
        <f>+CB17</f>
        <v>3069000</v>
      </c>
    </row>
    <row r="18" spans="1:124" ht="16.649999999999999" customHeight="1" x14ac:dyDescent="0.25">
      <c r="A18" s="130" t="s">
        <v>344</v>
      </c>
      <c r="B18" s="130" t="s">
        <v>344</v>
      </c>
      <c r="D18" s="83">
        <f t="shared" si="6"/>
        <v>0</v>
      </c>
      <c r="F18" s="83">
        <f t="shared" si="7"/>
        <v>0</v>
      </c>
      <c r="H18" s="83">
        <f t="shared" si="8"/>
        <v>0</v>
      </c>
      <c r="J18" s="83">
        <f t="shared" si="9"/>
        <v>0</v>
      </c>
      <c r="L18" s="83">
        <f t="shared" si="10"/>
        <v>2875000</v>
      </c>
      <c r="N18" s="83">
        <f t="shared" si="11"/>
        <v>0</v>
      </c>
      <c r="P18" s="198">
        <f t="shared" si="12"/>
        <v>0</v>
      </c>
      <c r="R18" s="198">
        <f t="shared" si="13"/>
        <v>0</v>
      </c>
      <c r="Z18" s="198">
        <f t="shared" si="0"/>
        <v>-2875000</v>
      </c>
      <c r="AB18" s="198">
        <f t="shared" si="1"/>
        <v>2875000</v>
      </c>
      <c r="AJ18" s="253">
        <f t="shared" si="5"/>
        <v>12</v>
      </c>
      <c r="AL18" s="276"/>
      <c r="AN18" s="94">
        <v>0</v>
      </c>
      <c r="AR18" s="94">
        <f t="shared" si="14"/>
        <v>0</v>
      </c>
      <c r="AT18" s="94">
        <v>0</v>
      </c>
      <c r="AU18" s="94">
        <v>2875000</v>
      </c>
      <c r="AV18" s="94">
        <v>0</v>
      </c>
      <c r="AX18" s="94">
        <f t="shared" si="15"/>
        <v>2875000</v>
      </c>
      <c r="AZ18" s="94">
        <v>0</v>
      </c>
      <c r="BA18" s="94">
        <v>0</v>
      </c>
      <c r="BB18" s="94">
        <v>0</v>
      </c>
      <c r="BC18" s="94">
        <v>0</v>
      </c>
      <c r="BD18" s="94">
        <f t="shared" si="16"/>
        <v>0</v>
      </c>
      <c r="BF18" s="94">
        <v>0</v>
      </c>
      <c r="BG18" s="94">
        <v>0</v>
      </c>
      <c r="BH18" s="94">
        <v>0</v>
      </c>
      <c r="BI18" s="94">
        <v>0</v>
      </c>
      <c r="BJ18" s="94">
        <f>SUM(BF18:BI18)</f>
        <v>0</v>
      </c>
      <c r="CD18" s="167"/>
      <c r="CF18" s="94">
        <f t="shared" si="2"/>
        <v>0</v>
      </c>
      <c r="CG18" s="94">
        <f>SUM($AN18:AO18)</f>
        <v>0</v>
      </c>
      <c r="CH18" s="94">
        <f>SUM($AN18:AP18)</f>
        <v>0</v>
      </c>
      <c r="CI18" s="94">
        <f>SUM($AN18:AQ18)</f>
        <v>0</v>
      </c>
      <c r="CJ18" s="94">
        <f t="shared" si="17"/>
        <v>0</v>
      </c>
      <c r="CL18" s="94">
        <f t="shared" si="3"/>
        <v>0</v>
      </c>
      <c r="CM18" s="94">
        <f>SUM($AT18:AU18)</f>
        <v>2875000</v>
      </c>
      <c r="CN18" s="94">
        <f>SUM($AT18:AV18)</f>
        <v>2875000</v>
      </c>
      <c r="CO18" s="94">
        <f>SUM($AT18:AW18)</f>
        <v>2875000</v>
      </c>
      <c r="CP18" s="94">
        <f t="shared" si="18"/>
        <v>2875000</v>
      </c>
    </row>
    <row r="19" spans="1:124" ht="16.649999999999999" customHeight="1" x14ac:dyDescent="0.25">
      <c r="A19" s="130" t="s">
        <v>345</v>
      </c>
      <c r="B19" s="130" t="s">
        <v>345</v>
      </c>
      <c r="D19" s="83">
        <f t="shared" si="6"/>
        <v>11000</v>
      </c>
      <c r="F19" s="83">
        <f t="shared" si="7"/>
        <v>-47000</v>
      </c>
      <c r="H19" s="83">
        <f t="shared" si="8"/>
        <v>-14000</v>
      </c>
      <c r="J19" s="83">
        <f t="shared" si="9"/>
        <v>49000</v>
      </c>
      <c r="L19" s="83">
        <f t="shared" si="10"/>
        <v>40000</v>
      </c>
      <c r="N19" s="83">
        <f t="shared" si="11"/>
        <v>204000</v>
      </c>
      <c r="P19" s="198">
        <f t="shared" si="12"/>
        <v>58000</v>
      </c>
      <c r="R19" s="198">
        <f t="shared" si="13"/>
        <v>-33000</v>
      </c>
      <c r="Z19" s="198">
        <f t="shared" si="0"/>
        <v>9000</v>
      </c>
      <c r="AB19" s="198">
        <f t="shared" si="1"/>
        <v>-164000</v>
      </c>
      <c r="AJ19" s="253">
        <f t="shared" si="5"/>
        <v>13</v>
      </c>
      <c r="AL19" s="276"/>
      <c r="AN19" s="94">
        <v>28000</v>
      </c>
      <c r="AO19" s="94">
        <v>10000</v>
      </c>
      <c r="AP19" s="94">
        <v>11000</v>
      </c>
      <c r="AR19" s="94">
        <f t="shared" si="14"/>
        <v>49000</v>
      </c>
      <c r="AT19" s="94">
        <v>47000</v>
      </c>
      <c r="AU19" s="94">
        <v>40000</v>
      </c>
      <c r="AV19" s="94">
        <v>-47000</v>
      </c>
      <c r="AW19" s="94">
        <v>-498000</v>
      </c>
      <c r="AX19" s="94">
        <f t="shared" si="15"/>
        <v>-458000</v>
      </c>
      <c r="AZ19" s="94">
        <v>187000</v>
      </c>
      <c r="BA19" s="94">
        <v>31000</v>
      </c>
      <c r="BB19" s="94">
        <v>-14000</v>
      </c>
      <c r="BC19" s="94">
        <v>-89000</v>
      </c>
      <c r="BD19" s="94">
        <f t="shared" si="16"/>
        <v>115000</v>
      </c>
      <c r="BF19" s="94">
        <v>-912000</v>
      </c>
      <c r="BG19" s="94">
        <v>141000</v>
      </c>
      <c r="BH19" s="94">
        <v>315000</v>
      </c>
      <c r="BI19" s="94">
        <v>-1084000</v>
      </c>
      <c r="BJ19" s="94">
        <f>SUM(BF19:BI19)</f>
        <v>-1540000</v>
      </c>
      <c r="BL19" s="94">
        <v>-672000</v>
      </c>
      <c r="BM19" s="94">
        <v>187000</v>
      </c>
      <c r="BN19" s="94">
        <v>485000</v>
      </c>
      <c r="BO19" s="94">
        <v>-1418000</v>
      </c>
      <c r="BP19" s="94">
        <f t="shared" ref="BP19:BP27" si="20">SUM(BL19:BO19)</f>
        <v>-1418000</v>
      </c>
      <c r="BR19" s="94">
        <v>7000</v>
      </c>
      <c r="BS19" s="94">
        <v>-5090000</v>
      </c>
      <c r="BT19" s="94">
        <v>6548000</v>
      </c>
      <c r="BU19" s="94">
        <v>-8343000</v>
      </c>
      <c r="BV19" s="94">
        <f t="shared" ref="BV19:BV27" si="21">SUM(BR19:BU19)</f>
        <v>-6878000</v>
      </c>
      <c r="BX19" s="94">
        <v>-1692000</v>
      </c>
      <c r="BY19" s="94">
        <v>14136000</v>
      </c>
      <c r="BZ19" s="94">
        <v>16089000</v>
      </c>
      <c r="CA19" s="94">
        <v>-18639000</v>
      </c>
      <c r="CB19" s="94">
        <f t="shared" ref="CB19:CB27" si="22">SUM(BX19:CA19)</f>
        <v>9894000</v>
      </c>
      <c r="CD19" s="167"/>
      <c r="CF19" s="94">
        <f t="shared" si="2"/>
        <v>28000</v>
      </c>
      <c r="CG19" s="94">
        <f>SUM($AN19:AO19)</f>
        <v>38000</v>
      </c>
      <c r="CH19" s="94">
        <f>SUM($AN19:AP19)</f>
        <v>49000</v>
      </c>
      <c r="CI19" s="94">
        <f>SUM($AN19:AQ19)</f>
        <v>49000</v>
      </c>
      <c r="CJ19" s="94">
        <f t="shared" si="17"/>
        <v>49000</v>
      </c>
      <c r="CL19" s="94">
        <f t="shared" si="3"/>
        <v>47000</v>
      </c>
      <c r="CM19" s="94">
        <f>SUM($AT19:AU19)</f>
        <v>87000</v>
      </c>
      <c r="CN19" s="94">
        <f>SUM($AT19:AV19)</f>
        <v>40000</v>
      </c>
      <c r="CO19" s="94">
        <f>SUM($AT19:AW19)</f>
        <v>-458000</v>
      </c>
      <c r="CP19" s="94">
        <f t="shared" si="18"/>
        <v>-458000</v>
      </c>
      <c r="CR19" s="94">
        <f t="shared" ref="CR19:CR27" si="23">+AZ19</f>
        <v>187000</v>
      </c>
      <c r="CS19" s="94">
        <f>SUM($AZ19:BA19)</f>
        <v>218000</v>
      </c>
      <c r="CT19" s="94">
        <f>SUM($AZ19:BB19)</f>
        <v>204000</v>
      </c>
      <c r="CU19" s="94">
        <f>SUM($AZ19:BC19)</f>
        <v>115000</v>
      </c>
      <c r="CV19" s="94">
        <f t="shared" ref="CV19:CV27" si="24">+BD19</f>
        <v>115000</v>
      </c>
      <c r="CX19" s="94">
        <f t="shared" ref="CX19:CX24" si="25">+BF19</f>
        <v>-912000</v>
      </c>
      <c r="CY19" s="94">
        <f>SUM($BF19:BG19)</f>
        <v>-771000</v>
      </c>
      <c r="CZ19" s="94">
        <f>SUM($BF19:BH19)</f>
        <v>-456000</v>
      </c>
      <c r="DA19" s="94">
        <f>SUM($BF19:BI19)</f>
        <v>-1540000</v>
      </c>
      <c r="DB19" s="94">
        <f t="shared" ref="DB19:DB27" si="26">+BJ19</f>
        <v>-1540000</v>
      </c>
      <c r="DD19" s="94">
        <f t="shared" ref="DD19:DD27" si="27">+BL19</f>
        <v>-672000</v>
      </c>
      <c r="DE19" s="94">
        <f>SUM($BL19:BM19)</f>
        <v>-485000</v>
      </c>
      <c r="DF19" s="94">
        <f>SUM($BL19:BN19)</f>
        <v>0</v>
      </c>
      <c r="DG19" s="94">
        <f>SUM($BL19:BO19)</f>
        <v>-1418000</v>
      </c>
      <c r="DH19" s="94">
        <f t="shared" ref="DH19:DH27" si="28">+BP19</f>
        <v>-1418000</v>
      </c>
      <c r="DJ19" s="94">
        <f t="shared" ref="DJ19:DJ27" si="29">+BR19</f>
        <v>7000</v>
      </c>
      <c r="DK19" s="94">
        <f>SUM($BR19:BS19)</f>
        <v>-5083000</v>
      </c>
      <c r="DL19" s="94">
        <f>SUM($BR19:BT19)</f>
        <v>1465000</v>
      </c>
      <c r="DM19" s="94">
        <f>SUM($BR19:BU19)</f>
        <v>-6878000</v>
      </c>
      <c r="DN19" s="94">
        <f t="shared" ref="DN19:DN27" si="30">+BV19</f>
        <v>-6878000</v>
      </c>
      <c r="DP19" s="94">
        <f t="shared" ref="DP19:DP27" si="31">+BX19</f>
        <v>-1692000</v>
      </c>
      <c r="DQ19" s="94">
        <f>SUM($BX19:BY19)</f>
        <v>12444000</v>
      </c>
      <c r="DR19" s="94">
        <f>SUM($BX19:BZ19)</f>
        <v>28533000</v>
      </c>
      <c r="DS19" s="94">
        <f>SUM($BX19:CA19)</f>
        <v>9894000</v>
      </c>
      <c r="DT19" s="94">
        <f t="shared" ref="DT19:DT27" si="32">+CB19</f>
        <v>9894000</v>
      </c>
    </row>
    <row r="20" spans="1:124" ht="27.5" customHeight="1" x14ac:dyDescent="0.25">
      <c r="A20" s="130" t="s">
        <v>346</v>
      </c>
      <c r="B20" s="130" t="s">
        <v>346</v>
      </c>
      <c r="D20" s="83">
        <f t="shared" si="6"/>
        <v>26760000</v>
      </c>
      <c r="F20" s="83">
        <f t="shared" si="7"/>
        <v>17497000</v>
      </c>
      <c r="H20" s="83">
        <f t="shared" si="8"/>
        <v>29624000</v>
      </c>
      <c r="J20" s="83">
        <f t="shared" si="9"/>
        <v>83813000</v>
      </c>
      <c r="L20" s="83">
        <f t="shared" si="10"/>
        <v>46524000</v>
      </c>
      <c r="N20" s="83">
        <f t="shared" si="11"/>
        <v>81142000</v>
      </c>
      <c r="P20" s="198">
        <f t="shared" si="12"/>
        <v>9263000</v>
      </c>
      <c r="R20" s="198">
        <f t="shared" si="13"/>
        <v>-12127000</v>
      </c>
      <c r="Z20" s="198">
        <f t="shared" si="0"/>
        <v>37289000</v>
      </c>
      <c r="AB20" s="198">
        <f t="shared" si="1"/>
        <v>-34618000</v>
      </c>
      <c r="AJ20" s="253">
        <f t="shared" si="5"/>
        <v>14</v>
      </c>
      <c r="AL20" s="276"/>
      <c r="AN20" s="94">
        <v>27985000</v>
      </c>
      <c r="AO20" s="94">
        <v>29068000</v>
      </c>
      <c r="AP20" s="94">
        <v>26760000</v>
      </c>
      <c r="AR20" s="94">
        <f t="shared" si="14"/>
        <v>83813000</v>
      </c>
      <c r="AT20" s="94">
        <v>13292000</v>
      </c>
      <c r="AU20" s="94">
        <v>15735000</v>
      </c>
      <c r="AV20" s="94">
        <v>17497000</v>
      </c>
      <c r="AW20" s="94">
        <v>24780000</v>
      </c>
      <c r="AX20" s="94">
        <f t="shared" si="15"/>
        <v>71304000</v>
      </c>
      <c r="AZ20" s="94">
        <v>24225000</v>
      </c>
      <c r="BA20" s="94">
        <v>27293000</v>
      </c>
      <c r="BB20" s="94">
        <v>29624000</v>
      </c>
      <c r="BC20" s="94">
        <v>44658000</v>
      </c>
      <c r="BD20" s="94">
        <f t="shared" si="16"/>
        <v>125800000</v>
      </c>
      <c r="BF20" s="94">
        <v>18496000</v>
      </c>
      <c r="BG20" s="94">
        <v>19221000</v>
      </c>
      <c r="BH20" s="94">
        <v>23758000</v>
      </c>
      <c r="BI20" s="94">
        <v>25782000</v>
      </c>
      <c r="BJ20" s="94">
        <f>SUM(BF20:BI20)</f>
        <v>87257000</v>
      </c>
      <c r="BL20" s="94">
        <v>16485000</v>
      </c>
      <c r="BM20" s="94">
        <v>24204000</v>
      </c>
      <c r="BN20" s="94">
        <v>23894000</v>
      </c>
      <c r="BO20" s="94">
        <v>47124000</v>
      </c>
      <c r="BP20" s="94">
        <f t="shared" si="20"/>
        <v>111707000</v>
      </c>
      <c r="BR20" s="94">
        <v>18630000</v>
      </c>
      <c r="BS20" s="94">
        <v>23354000</v>
      </c>
      <c r="BT20" s="94">
        <v>30295000</v>
      </c>
      <c r="BU20" s="94">
        <v>17168000</v>
      </c>
      <c r="BV20" s="94">
        <f t="shared" si="21"/>
        <v>89447000</v>
      </c>
      <c r="BX20" s="94">
        <v>17798000</v>
      </c>
      <c r="BY20" s="94">
        <v>17667000</v>
      </c>
      <c r="BZ20" s="94">
        <v>26082000</v>
      </c>
      <c r="CA20" s="94">
        <v>41175000</v>
      </c>
      <c r="CB20" s="94">
        <f t="shared" si="22"/>
        <v>102722000</v>
      </c>
      <c r="CD20" s="167"/>
      <c r="CF20" s="94">
        <f t="shared" si="2"/>
        <v>27985000</v>
      </c>
      <c r="CG20" s="94">
        <f>SUM($AN20:AO20)</f>
        <v>57053000</v>
      </c>
      <c r="CH20" s="94">
        <f>SUM($AN20:AP20)</f>
        <v>83813000</v>
      </c>
      <c r="CI20" s="94">
        <f>SUM($AN20:AQ20)</f>
        <v>83813000</v>
      </c>
      <c r="CJ20" s="94">
        <f t="shared" si="17"/>
        <v>83813000</v>
      </c>
      <c r="CL20" s="94">
        <f t="shared" si="3"/>
        <v>13292000</v>
      </c>
      <c r="CM20" s="94">
        <f>SUM($AT20:AU20)</f>
        <v>29027000</v>
      </c>
      <c r="CN20" s="94">
        <f>SUM($AT20:AV20)</f>
        <v>46524000</v>
      </c>
      <c r="CO20" s="94">
        <f>SUM($AT20:AW20)</f>
        <v>71304000</v>
      </c>
      <c r="CP20" s="94">
        <f t="shared" si="18"/>
        <v>71304000</v>
      </c>
      <c r="CR20" s="94">
        <f t="shared" si="23"/>
        <v>24225000</v>
      </c>
      <c r="CS20" s="94">
        <f>SUM($AZ20:BA20)</f>
        <v>51518000</v>
      </c>
      <c r="CT20" s="94">
        <f>SUM($AZ20:BB20)</f>
        <v>81142000</v>
      </c>
      <c r="CU20" s="94">
        <f>SUM($AZ20:BC20)</f>
        <v>125800000</v>
      </c>
      <c r="CV20" s="94">
        <f t="shared" si="24"/>
        <v>125800000</v>
      </c>
      <c r="CX20" s="94">
        <f t="shared" si="25"/>
        <v>18496000</v>
      </c>
      <c r="CY20" s="94">
        <f>SUM($BF20:BG20)</f>
        <v>37717000</v>
      </c>
      <c r="CZ20" s="94">
        <f>SUM($BF20:BH20)</f>
        <v>61475000</v>
      </c>
      <c r="DA20" s="94">
        <f>SUM($BF20:BI20)</f>
        <v>87257000</v>
      </c>
      <c r="DB20" s="94">
        <f t="shared" si="26"/>
        <v>87257000</v>
      </c>
      <c r="DD20" s="94">
        <f t="shared" si="27"/>
        <v>16485000</v>
      </c>
      <c r="DE20" s="94">
        <f>SUM($BL20:BM20)</f>
        <v>40689000</v>
      </c>
      <c r="DF20" s="94">
        <f>SUM($BL20:BN20)</f>
        <v>64583000</v>
      </c>
      <c r="DG20" s="94">
        <f>SUM($BL20:BO20)</f>
        <v>111707000</v>
      </c>
      <c r="DH20" s="94">
        <f t="shared" si="28"/>
        <v>111707000</v>
      </c>
      <c r="DJ20" s="94">
        <f t="shared" si="29"/>
        <v>18630000</v>
      </c>
      <c r="DK20" s="94">
        <f>SUM($BR20:BS20)</f>
        <v>41984000</v>
      </c>
      <c r="DL20" s="94">
        <f>SUM($BR20:BT20)</f>
        <v>72279000</v>
      </c>
      <c r="DM20" s="94">
        <f>SUM($BR20:BU20)</f>
        <v>89447000</v>
      </c>
      <c r="DN20" s="94">
        <f t="shared" si="30"/>
        <v>89447000</v>
      </c>
      <c r="DP20" s="94">
        <f t="shared" si="31"/>
        <v>17798000</v>
      </c>
      <c r="DQ20" s="94">
        <f>SUM($BX20:BY20)</f>
        <v>35465000</v>
      </c>
      <c r="DR20" s="94">
        <f>SUM($BX20:BZ20)</f>
        <v>61547000</v>
      </c>
      <c r="DS20" s="94">
        <f>SUM($BX20:CA20)</f>
        <v>102722000</v>
      </c>
      <c r="DT20" s="94">
        <f t="shared" si="32"/>
        <v>102722000</v>
      </c>
    </row>
    <row r="21" spans="1:124" ht="27.5" customHeight="1" x14ac:dyDescent="0.25">
      <c r="A21" s="130" t="s">
        <v>347</v>
      </c>
      <c r="B21" s="130" t="s">
        <v>347</v>
      </c>
      <c r="Z21" s="198">
        <f t="shared" si="0"/>
        <v>0</v>
      </c>
      <c r="AB21" s="198">
        <f t="shared" si="1"/>
        <v>0</v>
      </c>
      <c r="AJ21" s="253">
        <f t="shared" si="5"/>
        <v>15</v>
      </c>
      <c r="AL21" s="276"/>
      <c r="AR21" s="94">
        <f t="shared" si="14"/>
        <v>0</v>
      </c>
      <c r="AX21" s="94">
        <f t="shared" si="15"/>
        <v>0</v>
      </c>
      <c r="BL21" s="94">
        <v>0</v>
      </c>
      <c r="BP21" s="94">
        <f t="shared" si="20"/>
        <v>0</v>
      </c>
      <c r="BV21" s="94">
        <f t="shared" si="21"/>
        <v>0</v>
      </c>
      <c r="CB21" s="94">
        <f t="shared" si="22"/>
        <v>0</v>
      </c>
      <c r="CD21" s="167"/>
      <c r="CF21" s="94">
        <f t="shared" si="2"/>
        <v>0</v>
      </c>
      <c r="CG21" s="94">
        <f>SUM($AN21:AO21)</f>
        <v>0</v>
      </c>
      <c r="CH21" s="94">
        <f>SUM($AN21:AP21)</f>
        <v>0</v>
      </c>
      <c r="CI21" s="94">
        <f>SUM($AN21:AQ21)</f>
        <v>0</v>
      </c>
      <c r="CJ21" s="94">
        <f t="shared" si="17"/>
        <v>0</v>
      </c>
      <c r="CL21" s="94">
        <f t="shared" si="3"/>
        <v>0</v>
      </c>
      <c r="CM21" s="94">
        <f>SUM($AT21:AU21)</f>
        <v>0</v>
      </c>
      <c r="CN21" s="94">
        <f>SUM($AT21:AV21)</f>
        <v>0</v>
      </c>
      <c r="CO21" s="94">
        <f>SUM($AT21:AW21)</f>
        <v>0</v>
      </c>
      <c r="CP21" s="94">
        <f t="shared" si="18"/>
        <v>0</v>
      </c>
      <c r="CR21" s="94">
        <f t="shared" si="23"/>
        <v>0</v>
      </c>
      <c r="CS21" s="94">
        <f>SUM($AZ21:BA21)</f>
        <v>0</v>
      </c>
      <c r="CT21" s="94">
        <f>SUM($AZ21:BB21)</f>
        <v>0</v>
      </c>
      <c r="CU21" s="94">
        <f>SUM($AZ21:BC21)</f>
        <v>0</v>
      </c>
      <c r="CV21" s="94">
        <f t="shared" si="24"/>
        <v>0</v>
      </c>
      <c r="CX21" s="94">
        <f t="shared" si="25"/>
        <v>0</v>
      </c>
      <c r="CY21" s="94">
        <f>SUM($BF21:BG21)</f>
        <v>0</v>
      </c>
      <c r="CZ21" s="94">
        <f>SUM($BF21:BH21)</f>
        <v>0</v>
      </c>
      <c r="DA21" s="94">
        <f>SUM($BF21:BI21)</f>
        <v>0</v>
      </c>
      <c r="DB21" s="94">
        <f t="shared" si="26"/>
        <v>0</v>
      </c>
      <c r="DD21" s="94">
        <f t="shared" si="27"/>
        <v>0</v>
      </c>
      <c r="DE21" s="94">
        <f>SUM($BL21:BM21)</f>
        <v>0</v>
      </c>
      <c r="DF21" s="94">
        <f>SUM($BL21:BN21)</f>
        <v>0</v>
      </c>
      <c r="DG21" s="94">
        <f>SUM($BL21:BO21)</f>
        <v>0</v>
      </c>
      <c r="DH21" s="94">
        <f t="shared" si="28"/>
        <v>0</v>
      </c>
      <c r="DJ21" s="94">
        <f t="shared" si="29"/>
        <v>0</v>
      </c>
      <c r="DK21" s="94">
        <f>SUM($BR21:BS21)</f>
        <v>0</v>
      </c>
      <c r="DL21" s="94">
        <f>SUM($BR21:BT21)</f>
        <v>0</v>
      </c>
      <c r="DM21" s="94">
        <f>SUM($BR21:BU21)</f>
        <v>0</v>
      </c>
      <c r="DN21" s="94">
        <f t="shared" si="30"/>
        <v>0</v>
      </c>
      <c r="DP21" s="94">
        <f t="shared" si="31"/>
        <v>0</v>
      </c>
      <c r="DQ21" s="94">
        <f>SUM($BX21:BY21)</f>
        <v>0</v>
      </c>
      <c r="DR21" s="94">
        <f>SUM($BX21:BZ21)</f>
        <v>0</v>
      </c>
      <c r="DS21" s="94">
        <f>SUM($BX21:CA21)</f>
        <v>0</v>
      </c>
      <c r="DT21" s="94">
        <f t="shared" si="32"/>
        <v>0</v>
      </c>
    </row>
    <row r="22" spans="1:124" ht="16.649999999999999" customHeight="1" x14ac:dyDescent="0.25">
      <c r="A22" s="254" t="s">
        <v>348</v>
      </c>
      <c r="B22" s="254" t="s">
        <v>348</v>
      </c>
      <c r="D22" s="83">
        <f t="shared" ref="D22:D27" si="33">HLOOKUP(D$7,$AL$7:$CD$75,$AJ22,FALSE)</f>
        <v>-19013000</v>
      </c>
      <c r="F22" s="83">
        <f t="shared" ref="F22:F27" si="34">HLOOKUP(F$7,$AL$7:$CD$75,$AJ22,FALSE)</f>
        <v>-24778000</v>
      </c>
      <c r="H22" s="83">
        <f t="shared" ref="H22:H27" si="35">HLOOKUP(H$7,$AL$7:$CD$75,$AJ22,FALSE)</f>
        <v>-15722000</v>
      </c>
      <c r="J22" s="83">
        <f t="shared" ref="J22:J27" si="36">HLOOKUP(J$7,$CD$7:$DU$75,$AJ22,FALSE)</f>
        <v>-21640000</v>
      </c>
      <c r="L22" s="83">
        <f t="shared" ref="L22:L27" si="37">HLOOKUP(L$7,$CD$7:$DU$75,$AJ22,FALSE)</f>
        <v>-41036000</v>
      </c>
      <c r="N22" s="83">
        <f t="shared" ref="N22:N27" si="38">HLOOKUP(N$7,$CD$7:$DU$75,$AJ22,FALSE)</f>
        <v>-27171000</v>
      </c>
      <c r="P22" s="198">
        <f t="shared" ref="P22:P28" si="39">+D22-F22</f>
        <v>5765000</v>
      </c>
      <c r="R22" s="198">
        <f t="shared" ref="R22:R28" si="40">+F22-H22</f>
        <v>-9056000</v>
      </c>
      <c r="Z22" s="198">
        <f t="shared" si="0"/>
        <v>19396000</v>
      </c>
      <c r="AB22" s="198">
        <f t="shared" si="1"/>
        <v>-13865000</v>
      </c>
      <c r="AJ22" s="253">
        <f t="shared" si="5"/>
        <v>16</v>
      </c>
      <c r="AL22" s="276"/>
      <c r="AN22" s="94">
        <v>-16582000</v>
      </c>
      <c r="AO22" s="94">
        <v>13955000</v>
      </c>
      <c r="AP22" s="94">
        <v>-19013000</v>
      </c>
      <c r="AR22" s="94">
        <f t="shared" si="14"/>
        <v>-21640000</v>
      </c>
      <c r="AT22" s="94">
        <v>-14391000</v>
      </c>
      <c r="AU22" s="94">
        <v>-1867000</v>
      </c>
      <c r="AV22" s="94">
        <v>-24778000</v>
      </c>
      <c r="AW22" s="94">
        <v>8700000</v>
      </c>
      <c r="AX22" s="94">
        <f t="shared" si="15"/>
        <v>-32336000</v>
      </c>
      <c r="AZ22" s="94">
        <v>-7733000</v>
      </c>
      <c r="BA22" s="94">
        <v>-3716000</v>
      </c>
      <c r="BB22" s="94">
        <v>-15722000</v>
      </c>
      <c r="BC22" s="94">
        <v>15048000</v>
      </c>
      <c r="BD22" s="94">
        <f t="shared" ref="BD22:BD27" si="41">SUM(AZ22:BC22)</f>
        <v>-12123000</v>
      </c>
      <c r="BF22" s="94">
        <v>-7049000</v>
      </c>
      <c r="BG22" s="94">
        <v>-11024000</v>
      </c>
      <c r="BH22" s="94">
        <v>-27803000</v>
      </c>
      <c r="BI22" s="94">
        <v>7265000</v>
      </c>
      <c r="BJ22" s="94">
        <f t="shared" ref="BJ22:BJ27" si="42">SUM(BF22:BI22)</f>
        <v>-38611000</v>
      </c>
      <c r="BL22" s="94">
        <v>-5860000</v>
      </c>
      <c r="BM22" s="94">
        <v>-3724000</v>
      </c>
      <c r="BN22" s="94">
        <v>-17062000</v>
      </c>
      <c r="BO22" s="94">
        <v>1818000</v>
      </c>
      <c r="BP22" s="94">
        <f t="shared" si="20"/>
        <v>-24828000</v>
      </c>
      <c r="BR22" s="94">
        <v>-3451000</v>
      </c>
      <c r="BS22" s="94">
        <v>-7807000</v>
      </c>
      <c r="BT22" s="94">
        <v>-593000</v>
      </c>
      <c r="BU22" s="94">
        <v>-8667000</v>
      </c>
      <c r="BV22" s="94">
        <f t="shared" si="21"/>
        <v>-20518000</v>
      </c>
      <c r="BX22" s="94">
        <v>-852000</v>
      </c>
      <c r="BY22" s="94">
        <v>-1797000</v>
      </c>
      <c r="BZ22" s="94">
        <v>-32362000</v>
      </c>
      <c r="CA22" s="94">
        <v>-9400000</v>
      </c>
      <c r="CB22" s="94">
        <f t="shared" si="22"/>
        <v>-44411000</v>
      </c>
      <c r="CD22" s="167"/>
      <c r="CF22" s="94">
        <f t="shared" si="2"/>
        <v>-16582000</v>
      </c>
      <c r="CG22" s="94">
        <f>SUM($AN22:AO22)</f>
        <v>-2627000</v>
      </c>
      <c r="CH22" s="94">
        <f>SUM($AN22:AP22)</f>
        <v>-21640000</v>
      </c>
      <c r="CI22" s="94">
        <f>SUM($AN22:AQ22)</f>
        <v>-21640000</v>
      </c>
      <c r="CJ22" s="94">
        <f t="shared" si="17"/>
        <v>-21640000</v>
      </c>
      <c r="CL22" s="94">
        <f t="shared" si="3"/>
        <v>-14391000</v>
      </c>
      <c r="CM22" s="94">
        <f>SUM($AT22:AU22)</f>
        <v>-16258000</v>
      </c>
      <c r="CN22" s="94">
        <f>SUM($AT22:AV22)</f>
        <v>-41036000</v>
      </c>
      <c r="CO22" s="94">
        <f>SUM($AT22:AW22)</f>
        <v>-32336000</v>
      </c>
      <c r="CP22" s="94">
        <f t="shared" si="18"/>
        <v>-32336000</v>
      </c>
      <c r="CR22" s="94">
        <f t="shared" si="23"/>
        <v>-7733000</v>
      </c>
      <c r="CS22" s="94">
        <f>SUM($AZ22:BA22)</f>
        <v>-11449000</v>
      </c>
      <c r="CT22" s="94">
        <f>SUM($AZ22:BB22)</f>
        <v>-27171000</v>
      </c>
      <c r="CU22" s="94">
        <f>SUM($AZ22:BC22)</f>
        <v>-12123000</v>
      </c>
      <c r="CV22" s="94">
        <f t="shared" si="24"/>
        <v>-12123000</v>
      </c>
      <c r="CX22" s="94">
        <f t="shared" si="25"/>
        <v>-7049000</v>
      </c>
      <c r="CY22" s="94">
        <f>SUM($BF22:BG22)</f>
        <v>-18073000</v>
      </c>
      <c r="CZ22" s="94">
        <f>SUM($BF22:BH22)</f>
        <v>-45876000</v>
      </c>
      <c r="DA22" s="94">
        <f>SUM($BF22:BI22)</f>
        <v>-38611000</v>
      </c>
      <c r="DB22" s="94">
        <f t="shared" si="26"/>
        <v>-38611000</v>
      </c>
      <c r="DD22" s="94">
        <f t="shared" si="27"/>
        <v>-5860000</v>
      </c>
      <c r="DE22" s="94">
        <f>SUM($BL22:BM22)</f>
        <v>-9584000</v>
      </c>
      <c r="DF22" s="94">
        <f>SUM($BL22:BN22)</f>
        <v>-26646000</v>
      </c>
      <c r="DG22" s="94">
        <f>SUM($BL22:BO22)</f>
        <v>-24828000</v>
      </c>
      <c r="DH22" s="94">
        <f t="shared" si="28"/>
        <v>-24828000</v>
      </c>
      <c r="DJ22" s="94">
        <f t="shared" si="29"/>
        <v>-3451000</v>
      </c>
      <c r="DK22" s="94">
        <f>SUM($BR22:BS22)</f>
        <v>-11258000</v>
      </c>
      <c r="DL22" s="94">
        <f>SUM($BR22:BT22)</f>
        <v>-11851000</v>
      </c>
      <c r="DM22" s="94">
        <f>SUM($BR22:BU22)</f>
        <v>-20518000</v>
      </c>
      <c r="DN22" s="94">
        <f t="shared" si="30"/>
        <v>-20518000</v>
      </c>
      <c r="DP22" s="94">
        <f t="shared" si="31"/>
        <v>-852000</v>
      </c>
      <c r="DQ22" s="94">
        <f>SUM($BX22:BY22)</f>
        <v>-2649000</v>
      </c>
      <c r="DR22" s="94">
        <f>SUM($BX22:BZ22)</f>
        <v>-35011000</v>
      </c>
      <c r="DS22" s="94">
        <f>SUM($BX22:CA22)</f>
        <v>-44411000</v>
      </c>
      <c r="DT22" s="94">
        <f t="shared" si="32"/>
        <v>-44411000</v>
      </c>
    </row>
    <row r="23" spans="1:124" ht="16.649999999999999" customHeight="1" x14ac:dyDescent="0.25">
      <c r="A23" s="254" t="s">
        <v>349</v>
      </c>
      <c r="B23" s="254" t="s">
        <v>349</v>
      </c>
      <c r="D23" s="83">
        <f t="shared" si="33"/>
        <v>-1042000</v>
      </c>
      <c r="F23" s="83">
        <f t="shared" si="34"/>
        <v>-4235000</v>
      </c>
      <c r="H23" s="83">
        <f t="shared" si="35"/>
        <v>-1203000</v>
      </c>
      <c r="J23" s="83">
        <f t="shared" si="36"/>
        <v>3645000</v>
      </c>
      <c r="L23" s="83">
        <f t="shared" si="37"/>
        <v>-7142000</v>
      </c>
      <c r="N23" s="83">
        <f t="shared" si="38"/>
        <v>-2123000</v>
      </c>
      <c r="P23" s="198">
        <f t="shared" si="39"/>
        <v>3193000</v>
      </c>
      <c r="R23" s="198">
        <f t="shared" si="40"/>
        <v>-3032000</v>
      </c>
      <c r="Z23" s="198">
        <f t="shared" si="0"/>
        <v>10787000</v>
      </c>
      <c r="AB23" s="198">
        <f t="shared" si="1"/>
        <v>-5019000</v>
      </c>
      <c r="AJ23" s="253">
        <f t="shared" si="5"/>
        <v>17</v>
      </c>
      <c r="AL23" s="276"/>
      <c r="AN23" s="94">
        <v>2741000</v>
      </c>
      <c r="AO23" s="94">
        <v>1946000</v>
      </c>
      <c r="AP23" s="94">
        <v>-1042000</v>
      </c>
      <c r="AR23" s="94">
        <f t="shared" si="14"/>
        <v>3645000</v>
      </c>
      <c r="AT23" s="94">
        <v>86000</v>
      </c>
      <c r="AU23" s="94">
        <v>-2993000</v>
      </c>
      <c r="AV23" s="94">
        <v>-4235000</v>
      </c>
      <c r="AW23" s="94">
        <v>-3971000</v>
      </c>
      <c r="AX23" s="94">
        <f t="shared" si="15"/>
        <v>-11113000</v>
      </c>
      <c r="AZ23" s="94">
        <v>-369000</v>
      </c>
      <c r="BA23" s="94">
        <v>-551000</v>
      </c>
      <c r="BB23" s="94">
        <v>-1203000</v>
      </c>
      <c r="BC23" s="94">
        <v>-4313000</v>
      </c>
      <c r="BD23" s="94">
        <f t="shared" si="41"/>
        <v>-6436000</v>
      </c>
      <c r="BF23" s="94">
        <v>-3383000</v>
      </c>
      <c r="BG23" s="94">
        <v>-1986000</v>
      </c>
      <c r="BH23" s="94">
        <v>-1495000</v>
      </c>
      <c r="BI23" s="94">
        <v>-1111000</v>
      </c>
      <c r="BJ23" s="94">
        <f t="shared" si="42"/>
        <v>-7975000</v>
      </c>
      <c r="BL23" s="94">
        <v>-1681000</v>
      </c>
      <c r="BM23" s="94">
        <v>-1764000</v>
      </c>
      <c r="BN23" s="94">
        <v>-1637000</v>
      </c>
      <c r="BO23" s="94">
        <v>-1523000</v>
      </c>
      <c r="BP23" s="94">
        <f t="shared" si="20"/>
        <v>-6605000</v>
      </c>
      <c r="BR23" s="94">
        <v>174000</v>
      </c>
      <c r="BS23" s="94">
        <v>-780000</v>
      </c>
      <c r="BT23" s="94">
        <v>-2104000</v>
      </c>
      <c r="BU23" s="94">
        <v>-2563000</v>
      </c>
      <c r="BV23" s="94">
        <f t="shared" si="21"/>
        <v>-5273000</v>
      </c>
      <c r="BX23" s="94">
        <v>-998000</v>
      </c>
      <c r="BY23" s="94">
        <v>-1049000</v>
      </c>
      <c r="BZ23" s="94">
        <v>-988000</v>
      </c>
      <c r="CA23" s="94">
        <v>-1263000</v>
      </c>
      <c r="CB23" s="94">
        <f t="shared" si="22"/>
        <v>-4298000</v>
      </c>
      <c r="CD23" s="167"/>
      <c r="CF23" s="94">
        <f t="shared" si="2"/>
        <v>2741000</v>
      </c>
      <c r="CG23" s="94">
        <f>SUM($AN23:AO23)</f>
        <v>4687000</v>
      </c>
      <c r="CH23" s="94">
        <f>SUM($AN23:AP23)</f>
        <v>3645000</v>
      </c>
      <c r="CI23" s="94">
        <f>SUM($AN23:AQ23)</f>
        <v>3645000</v>
      </c>
      <c r="CJ23" s="94">
        <f t="shared" si="17"/>
        <v>3645000</v>
      </c>
      <c r="CL23" s="94">
        <f t="shared" si="3"/>
        <v>86000</v>
      </c>
      <c r="CM23" s="94">
        <f>SUM($AT23:AU23)</f>
        <v>-2907000</v>
      </c>
      <c r="CN23" s="94">
        <f>SUM($AT23:AV23)</f>
        <v>-7142000</v>
      </c>
      <c r="CO23" s="94">
        <f>SUM($AT23:AW23)</f>
        <v>-11113000</v>
      </c>
      <c r="CP23" s="94">
        <f t="shared" si="18"/>
        <v>-11113000</v>
      </c>
      <c r="CR23" s="94">
        <f t="shared" si="23"/>
        <v>-369000</v>
      </c>
      <c r="CS23" s="94">
        <f>SUM($AZ23:BA23)</f>
        <v>-920000</v>
      </c>
      <c r="CT23" s="94">
        <f>SUM($AZ23:BB23)</f>
        <v>-2123000</v>
      </c>
      <c r="CU23" s="94">
        <f>SUM($AZ23:BC23)</f>
        <v>-6436000</v>
      </c>
      <c r="CV23" s="94">
        <f t="shared" si="24"/>
        <v>-6436000</v>
      </c>
      <c r="CX23" s="94">
        <f t="shared" si="25"/>
        <v>-3383000</v>
      </c>
      <c r="CY23" s="94">
        <f>SUM($BF23:BG23)</f>
        <v>-5369000</v>
      </c>
      <c r="CZ23" s="94">
        <f>SUM($BF23:BH23)</f>
        <v>-6864000</v>
      </c>
      <c r="DA23" s="94">
        <f>SUM($BF23:BI23)</f>
        <v>-7975000</v>
      </c>
      <c r="DB23" s="94">
        <f t="shared" si="26"/>
        <v>-7975000</v>
      </c>
      <c r="DD23" s="94">
        <f t="shared" si="27"/>
        <v>-1681000</v>
      </c>
      <c r="DE23" s="94">
        <f>SUM($BL23:BM23)</f>
        <v>-3445000</v>
      </c>
      <c r="DF23" s="94">
        <f>SUM($BL23:BN23)</f>
        <v>-5082000</v>
      </c>
      <c r="DG23" s="94">
        <f>SUM($BL23:BO23)</f>
        <v>-6605000</v>
      </c>
      <c r="DH23" s="94">
        <f t="shared" si="28"/>
        <v>-6605000</v>
      </c>
      <c r="DJ23" s="94">
        <f t="shared" si="29"/>
        <v>174000</v>
      </c>
      <c r="DK23" s="94">
        <f>SUM($BR23:BS23)</f>
        <v>-606000</v>
      </c>
      <c r="DL23" s="94">
        <f>SUM($BR23:BT23)</f>
        <v>-2710000</v>
      </c>
      <c r="DM23" s="94">
        <f>SUM($BR23:BU23)</f>
        <v>-5273000</v>
      </c>
      <c r="DN23" s="94">
        <f t="shared" si="30"/>
        <v>-5273000</v>
      </c>
      <c r="DP23" s="94">
        <f t="shared" si="31"/>
        <v>-998000</v>
      </c>
      <c r="DQ23" s="94">
        <f>SUM($BX23:BY23)</f>
        <v>-2047000</v>
      </c>
      <c r="DR23" s="94">
        <f>SUM($BX23:BZ23)</f>
        <v>-3035000</v>
      </c>
      <c r="DS23" s="94">
        <f>SUM($BX23:CA23)</f>
        <v>-4298000</v>
      </c>
      <c r="DT23" s="94">
        <f t="shared" si="32"/>
        <v>-4298000</v>
      </c>
    </row>
    <row r="24" spans="1:124" ht="16.649999999999999" customHeight="1" x14ac:dyDescent="0.25">
      <c r="A24" s="254" t="s">
        <v>350</v>
      </c>
      <c r="B24" s="254" t="s">
        <v>350</v>
      </c>
      <c r="D24" s="83">
        <f t="shared" si="33"/>
        <v>-6596000</v>
      </c>
      <c r="F24" s="83">
        <f t="shared" si="34"/>
        <v>-4831000</v>
      </c>
      <c r="H24" s="83">
        <f t="shared" si="35"/>
        <v>-7372000</v>
      </c>
      <c r="J24" s="83">
        <f t="shared" si="36"/>
        <v>-2598000</v>
      </c>
      <c r="L24" s="83">
        <f t="shared" si="37"/>
        <v>912000</v>
      </c>
      <c r="N24" s="83">
        <f t="shared" si="38"/>
        <v>1588000</v>
      </c>
      <c r="P24" s="198">
        <f t="shared" si="39"/>
        <v>-1765000</v>
      </c>
      <c r="R24" s="198">
        <f t="shared" si="40"/>
        <v>2541000</v>
      </c>
      <c r="Z24" s="198">
        <f t="shared" si="0"/>
        <v>-3510000</v>
      </c>
      <c r="AB24" s="198">
        <f t="shared" si="1"/>
        <v>-676000</v>
      </c>
      <c r="AJ24" s="253">
        <f t="shared" si="5"/>
        <v>18</v>
      </c>
      <c r="AL24" s="276"/>
      <c r="AN24" s="94">
        <v>3667000</v>
      </c>
      <c r="AO24" s="94">
        <v>331000</v>
      </c>
      <c r="AP24" s="94">
        <v>-6596000</v>
      </c>
      <c r="AR24" s="94">
        <f t="shared" si="14"/>
        <v>-2598000</v>
      </c>
      <c r="AT24" s="94">
        <v>5008000</v>
      </c>
      <c r="AU24" s="94">
        <v>735000</v>
      </c>
      <c r="AV24" s="94">
        <v>-4831000</v>
      </c>
      <c r="AW24" s="94">
        <v>8514000</v>
      </c>
      <c r="AX24" s="94">
        <f t="shared" si="15"/>
        <v>9426000</v>
      </c>
      <c r="AZ24" s="94">
        <v>4352000</v>
      </c>
      <c r="BA24" s="94">
        <v>4608000</v>
      </c>
      <c r="BB24" s="94">
        <v>-7372000</v>
      </c>
      <c r="BC24" s="94">
        <v>6117000</v>
      </c>
      <c r="BD24" s="94">
        <f t="shared" si="41"/>
        <v>7705000</v>
      </c>
      <c r="BF24" s="94">
        <v>19336000</v>
      </c>
      <c r="BG24" s="94">
        <v>4072000</v>
      </c>
      <c r="BH24" s="94">
        <v>-1331000</v>
      </c>
      <c r="BI24" s="94">
        <v>4786000</v>
      </c>
      <c r="BJ24" s="94">
        <f t="shared" si="42"/>
        <v>26863000</v>
      </c>
      <c r="BL24" s="94">
        <v>4904000</v>
      </c>
      <c r="BM24" s="94">
        <v>2799000</v>
      </c>
      <c r="BN24" s="94">
        <v>-192000</v>
      </c>
      <c r="BO24" s="94">
        <v>-26283000</v>
      </c>
      <c r="BP24" s="94">
        <f t="shared" si="20"/>
        <v>-18772000</v>
      </c>
      <c r="BR24" s="94">
        <v>3600000</v>
      </c>
      <c r="BS24" s="94">
        <v>-7497000</v>
      </c>
      <c r="BT24" s="94">
        <v>6301000</v>
      </c>
      <c r="BU24" s="94">
        <v>-8548000</v>
      </c>
      <c r="BV24" s="94">
        <f t="shared" si="21"/>
        <v>-6144000</v>
      </c>
      <c r="BX24" s="94">
        <v>-574000</v>
      </c>
      <c r="BY24" s="94">
        <v>1838000</v>
      </c>
      <c r="BZ24" s="94">
        <v>-6151000</v>
      </c>
      <c r="CA24" s="94">
        <v>1781000</v>
      </c>
      <c r="CB24" s="94">
        <f t="shared" si="22"/>
        <v>-3106000</v>
      </c>
      <c r="CD24" s="167"/>
      <c r="CF24" s="94">
        <f t="shared" si="2"/>
        <v>3667000</v>
      </c>
      <c r="CG24" s="94">
        <f>SUM($AN24:AO24)</f>
        <v>3998000</v>
      </c>
      <c r="CH24" s="94">
        <f>SUM($AN24:AP24)</f>
        <v>-2598000</v>
      </c>
      <c r="CI24" s="94">
        <f>SUM($AN24:AQ24)</f>
        <v>-2598000</v>
      </c>
      <c r="CJ24" s="94">
        <f t="shared" si="17"/>
        <v>-2598000</v>
      </c>
      <c r="CL24" s="94">
        <f t="shared" si="3"/>
        <v>5008000</v>
      </c>
      <c r="CM24" s="94">
        <f>SUM($AT24:AU24)</f>
        <v>5743000</v>
      </c>
      <c r="CN24" s="94">
        <f>SUM($AT24:AV24)</f>
        <v>912000</v>
      </c>
      <c r="CO24" s="94">
        <f>SUM($AT24:AW24)</f>
        <v>9426000</v>
      </c>
      <c r="CP24" s="94">
        <f t="shared" si="18"/>
        <v>9426000</v>
      </c>
      <c r="CR24" s="94">
        <f t="shared" si="23"/>
        <v>4352000</v>
      </c>
      <c r="CS24" s="94">
        <f>SUM($AZ24:BA24)</f>
        <v>8960000</v>
      </c>
      <c r="CT24" s="94">
        <f>SUM($AZ24:BB24)</f>
        <v>1588000</v>
      </c>
      <c r="CU24" s="94">
        <f>SUM($AZ24:BC24)</f>
        <v>7705000</v>
      </c>
      <c r="CV24" s="94">
        <f t="shared" si="24"/>
        <v>7705000</v>
      </c>
      <c r="CX24" s="94">
        <f t="shared" si="25"/>
        <v>19336000</v>
      </c>
      <c r="CY24" s="94">
        <f>SUM($BF24:BG24)</f>
        <v>23408000</v>
      </c>
      <c r="CZ24" s="94">
        <f>SUM($BF24:BH24)</f>
        <v>22077000</v>
      </c>
      <c r="DA24" s="94">
        <f>SUM($BF24:BI24)</f>
        <v>26863000</v>
      </c>
      <c r="DB24" s="94">
        <f t="shared" si="26"/>
        <v>26863000</v>
      </c>
      <c r="DD24" s="94">
        <f t="shared" si="27"/>
        <v>4904000</v>
      </c>
      <c r="DE24" s="94">
        <f>SUM($BL24:BM24)</f>
        <v>7703000</v>
      </c>
      <c r="DF24" s="94">
        <f>SUM($BL24:BN24)</f>
        <v>7511000</v>
      </c>
      <c r="DG24" s="94">
        <f>SUM($BL24:BO24)</f>
        <v>-18772000</v>
      </c>
      <c r="DH24" s="94">
        <f t="shared" si="28"/>
        <v>-18772000</v>
      </c>
      <c r="DJ24" s="94">
        <f t="shared" si="29"/>
        <v>3600000</v>
      </c>
      <c r="DK24" s="94">
        <f>SUM($BR24:BS24)</f>
        <v>-3897000</v>
      </c>
      <c r="DL24" s="94">
        <f>SUM($BR24:BT24)</f>
        <v>2404000</v>
      </c>
      <c r="DM24" s="94">
        <f>SUM($BR24:BU24)</f>
        <v>-6144000</v>
      </c>
      <c r="DN24" s="94">
        <f t="shared" si="30"/>
        <v>-6144000</v>
      </c>
      <c r="DP24" s="94">
        <f t="shared" si="31"/>
        <v>-574000</v>
      </c>
      <c r="DQ24" s="94">
        <f>SUM($BX24:BY24)</f>
        <v>1264000</v>
      </c>
      <c r="DR24" s="94">
        <f>SUM($BX24:BZ24)</f>
        <v>-4887000</v>
      </c>
      <c r="DS24" s="94">
        <f>SUM($BX24:CA24)</f>
        <v>-3106000</v>
      </c>
      <c r="DT24" s="94">
        <f t="shared" si="32"/>
        <v>-3106000</v>
      </c>
    </row>
    <row r="25" spans="1:124" ht="27.5" customHeight="1" x14ac:dyDescent="0.25">
      <c r="A25" s="254" t="s">
        <v>351</v>
      </c>
      <c r="B25" s="254" t="s">
        <v>351</v>
      </c>
      <c r="D25" s="83">
        <f t="shared" si="33"/>
        <v>23829000</v>
      </c>
      <c r="F25" s="83">
        <f t="shared" si="34"/>
        <v>21639000</v>
      </c>
      <c r="H25" s="83">
        <f t="shared" si="35"/>
        <v>20168000</v>
      </c>
      <c r="J25" s="83">
        <f t="shared" si="36"/>
        <v>-8165000</v>
      </c>
      <c r="L25" s="83">
        <f t="shared" si="37"/>
        <v>8754000</v>
      </c>
      <c r="N25" s="83">
        <f t="shared" si="38"/>
        <v>-9309000</v>
      </c>
      <c r="P25" s="198">
        <f t="shared" si="39"/>
        <v>2190000</v>
      </c>
      <c r="R25" s="198">
        <f t="shared" si="40"/>
        <v>1471000</v>
      </c>
      <c r="Z25" s="198">
        <f t="shared" si="0"/>
        <v>-16919000</v>
      </c>
      <c r="AB25" s="198">
        <f t="shared" si="1"/>
        <v>18063000</v>
      </c>
      <c r="AJ25" s="253">
        <f t="shared" si="5"/>
        <v>19</v>
      </c>
      <c r="AL25" s="276"/>
      <c r="AN25" s="94">
        <v>-39046000</v>
      </c>
      <c r="AO25" s="94">
        <v>7052000</v>
      </c>
      <c r="AP25" s="94">
        <v>23829000</v>
      </c>
      <c r="AR25" s="94">
        <f t="shared" si="14"/>
        <v>-8165000</v>
      </c>
      <c r="AT25" s="94">
        <v>-25225000</v>
      </c>
      <c r="AU25" s="94">
        <v>12340000</v>
      </c>
      <c r="AV25" s="94">
        <v>21639000</v>
      </c>
      <c r="AW25" s="94">
        <v>-246000</v>
      </c>
      <c r="AX25" s="94">
        <f t="shared" si="15"/>
        <v>8508000</v>
      </c>
      <c r="AZ25" s="94">
        <v>-34557000</v>
      </c>
      <c r="BA25" s="94">
        <v>5080000</v>
      </c>
      <c r="BB25" s="94">
        <v>20168000</v>
      </c>
      <c r="BC25" s="94">
        <v>-6060000</v>
      </c>
      <c r="BD25" s="94">
        <f t="shared" si="41"/>
        <v>-15369000</v>
      </c>
      <c r="BF25" s="94">
        <v>-37276000</v>
      </c>
      <c r="BG25" s="94">
        <v>447000</v>
      </c>
      <c r="BH25" s="94">
        <v>34358000</v>
      </c>
      <c r="BI25" s="94">
        <v>11321000</v>
      </c>
      <c r="BJ25" s="94">
        <f t="shared" si="42"/>
        <v>8850000</v>
      </c>
      <c r="BL25" s="94">
        <v>-22684000</v>
      </c>
      <c r="BM25" s="94">
        <v>2013000</v>
      </c>
      <c r="BN25" s="94">
        <v>13824000</v>
      </c>
      <c r="BO25" s="94">
        <v>6731000</v>
      </c>
      <c r="BP25" s="94">
        <f t="shared" si="20"/>
        <v>-116000</v>
      </c>
      <c r="BR25" s="94">
        <f>-188000</f>
        <v>-188000</v>
      </c>
      <c r="BS25" s="94">
        <v>3009000</v>
      </c>
      <c r="BT25" s="94">
        <v>9776000</v>
      </c>
      <c r="BU25" s="94">
        <v>12326000</v>
      </c>
      <c r="BV25" s="94">
        <f t="shared" si="21"/>
        <v>24923000</v>
      </c>
      <c r="BX25" s="94">
        <f>4403000-8000</f>
        <v>4395000</v>
      </c>
      <c r="BY25" s="94">
        <v>-8880000</v>
      </c>
      <c r="BZ25" s="94">
        <v>22989000</v>
      </c>
      <c r="CA25" s="94">
        <v>6804000</v>
      </c>
      <c r="CB25" s="94">
        <f t="shared" si="22"/>
        <v>25308000</v>
      </c>
      <c r="CD25" s="167"/>
      <c r="CF25" s="94">
        <f t="shared" si="2"/>
        <v>-39046000</v>
      </c>
      <c r="CG25" s="94">
        <f>SUM($AN25:AO25)</f>
        <v>-31994000</v>
      </c>
      <c r="CH25" s="94">
        <f>SUM($AN25:AP25)</f>
        <v>-8165000</v>
      </c>
      <c r="CI25" s="94">
        <f>SUM($AN25:AQ25)</f>
        <v>-8165000</v>
      </c>
      <c r="CJ25" s="94">
        <f t="shared" si="17"/>
        <v>-8165000</v>
      </c>
      <c r="CL25" s="94">
        <f t="shared" si="3"/>
        <v>-25225000</v>
      </c>
      <c r="CM25" s="94">
        <f>SUM($AT25:AU25)</f>
        <v>-12885000</v>
      </c>
      <c r="CN25" s="94">
        <f>SUM($AT25:AV25)</f>
        <v>8754000</v>
      </c>
      <c r="CO25" s="94">
        <f>SUM($AT25:AW25)</f>
        <v>8508000</v>
      </c>
      <c r="CP25" s="94">
        <f t="shared" si="18"/>
        <v>8508000</v>
      </c>
      <c r="CR25" s="94">
        <f t="shared" si="23"/>
        <v>-34557000</v>
      </c>
      <c r="CS25" s="94">
        <f>SUM($AZ25:BA25)</f>
        <v>-29477000</v>
      </c>
      <c r="CT25" s="94">
        <f>SUM($AZ25:BB25)</f>
        <v>-9309000</v>
      </c>
      <c r="CU25" s="94">
        <f>SUM($AZ25:BC25)</f>
        <v>-15369000</v>
      </c>
      <c r="CV25" s="94">
        <f t="shared" si="24"/>
        <v>-15369000</v>
      </c>
      <c r="CX25" s="94">
        <v>-37276000</v>
      </c>
      <c r="CY25" s="94">
        <f>SUM($BF25:BG25)</f>
        <v>-36829000</v>
      </c>
      <c r="CZ25" s="94">
        <f>SUM($BF25:BH25)</f>
        <v>-2471000</v>
      </c>
      <c r="DA25" s="94">
        <f>SUM($BF25:BI25)</f>
        <v>8850000</v>
      </c>
      <c r="DB25" s="94">
        <f t="shared" si="26"/>
        <v>8850000</v>
      </c>
      <c r="DD25" s="94">
        <f t="shared" si="27"/>
        <v>-22684000</v>
      </c>
      <c r="DE25" s="94">
        <f>SUM($BL25:BM25)</f>
        <v>-20671000</v>
      </c>
      <c r="DF25" s="94">
        <f>SUM($BL25:BN25)</f>
        <v>-6847000</v>
      </c>
      <c r="DG25" s="94">
        <f>SUM($BL25:BO25)</f>
        <v>-116000</v>
      </c>
      <c r="DH25" s="94">
        <f t="shared" si="28"/>
        <v>-116000</v>
      </c>
      <c r="DJ25" s="94">
        <f t="shared" si="29"/>
        <v>-188000</v>
      </c>
      <c r="DK25" s="94">
        <f>SUM($BR25:BS25)</f>
        <v>2821000</v>
      </c>
      <c r="DL25" s="94">
        <f>SUM($BR25:BT25)</f>
        <v>12597000</v>
      </c>
      <c r="DM25" s="94">
        <f>SUM($BR25:BU25)</f>
        <v>24923000</v>
      </c>
      <c r="DN25" s="94">
        <f t="shared" si="30"/>
        <v>24923000</v>
      </c>
      <c r="DP25" s="94">
        <f t="shared" si="31"/>
        <v>4395000</v>
      </c>
      <c r="DQ25" s="94">
        <f>SUM($BX25:BY25)</f>
        <v>-4485000</v>
      </c>
      <c r="DR25" s="94">
        <f>SUM($BX25:BZ25)</f>
        <v>18504000</v>
      </c>
      <c r="DS25" s="94">
        <f>SUM($BX25:CA25)</f>
        <v>25308000</v>
      </c>
      <c r="DT25" s="94">
        <f t="shared" si="32"/>
        <v>25308000</v>
      </c>
    </row>
    <row r="26" spans="1:124" ht="16.649999999999999" customHeight="1" x14ac:dyDescent="0.25">
      <c r="A26" s="254" t="s">
        <v>352</v>
      </c>
      <c r="B26" s="254" t="s">
        <v>352</v>
      </c>
      <c r="D26" s="83">
        <f t="shared" si="33"/>
        <v>-1617000</v>
      </c>
      <c r="F26" s="83">
        <f t="shared" si="34"/>
        <v>-14139000</v>
      </c>
      <c r="H26" s="83">
        <f t="shared" si="35"/>
        <v>5454000</v>
      </c>
      <c r="J26" s="83">
        <f t="shared" si="36"/>
        <v>3953000</v>
      </c>
      <c r="L26" s="83">
        <f t="shared" si="37"/>
        <v>29560000</v>
      </c>
      <c r="N26" s="83">
        <f t="shared" si="38"/>
        <v>6967000</v>
      </c>
      <c r="P26" s="198">
        <f t="shared" si="39"/>
        <v>12522000</v>
      </c>
      <c r="R26" s="198">
        <f t="shared" si="40"/>
        <v>-19593000</v>
      </c>
      <c r="Z26" s="198">
        <f t="shared" si="0"/>
        <v>-25607000</v>
      </c>
      <c r="AB26" s="198">
        <f t="shared" si="1"/>
        <v>22593000</v>
      </c>
      <c r="AJ26" s="253">
        <f t="shared" si="5"/>
        <v>20</v>
      </c>
      <c r="AL26" s="276"/>
      <c r="AN26" s="94">
        <v>6792000</v>
      </c>
      <c r="AO26" s="94">
        <v>-1222000</v>
      </c>
      <c r="AP26" s="94">
        <v>-1617000</v>
      </c>
      <c r="AR26" s="94">
        <f t="shared" si="14"/>
        <v>3953000</v>
      </c>
      <c r="AT26" s="94">
        <v>37236000</v>
      </c>
      <c r="AU26" s="94">
        <v>6463000</v>
      </c>
      <c r="AV26" s="94">
        <v>-14139000</v>
      </c>
      <c r="AW26" s="94">
        <v>-7285000</v>
      </c>
      <c r="AX26" s="94">
        <f t="shared" si="15"/>
        <v>22275000</v>
      </c>
      <c r="AZ26" s="94">
        <v>2131000</v>
      </c>
      <c r="BA26" s="94">
        <v>-618000</v>
      </c>
      <c r="BB26" s="94">
        <v>5454000</v>
      </c>
      <c r="BC26" s="94">
        <v>-6371000</v>
      </c>
      <c r="BD26" s="94">
        <f t="shared" si="41"/>
        <v>596000</v>
      </c>
      <c r="BF26" s="94">
        <v>-1000000</v>
      </c>
      <c r="BG26" s="94">
        <v>368000</v>
      </c>
      <c r="BH26" s="94">
        <v>1630000</v>
      </c>
      <c r="BI26" s="94">
        <v>32971000</v>
      </c>
      <c r="BJ26" s="94">
        <f t="shared" si="42"/>
        <v>33969000</v>
      </c>
      <c r="BL26" s="94">
        <v>-1105000</v>
      </c>
      <c r="BM26" s="94">
        <v>-2478000</v>
      </c>
      <c r="BN26" s="94">
        <v>-5399000</v>
      </c>
      <c r="BO26" s="94">
        <v>-17233000</v>
      </c>
      <c r="BP26" s="94">
        <f t="shared" si="20"/>
        <v>-26215000</v>
      </c>
      <c r="BR26" s="94">
        <v>-863000</v>
      </c>
      <c r="BS26" s="94">
        <v>-6926000</v>
      </c>
      <c r="BT26" s="94">
        <v>-5634000</v>
      </c>
      <c r="BU26" s="94">
        <v>-12030000</v>
      </c>
      <c r="BV26" s="94">
        <f t="shared" si="21"/>
        <v>-25453000</v>
      </c>
      <c r="BX26" s="94">
        <v>-1898000</v>
      </c>
      <c r="BY26" s="94">
        <v>-14518000</v>
      </c>
      <c r="BZ26" s="94">
        <v>-33631000</v>
      </c>
      <c r="CA26" s="94">
        <v>55134000</v>
      </c>
      <c r="CB26" s="94">
        <f t="shared" si="22"/>
        <v>5087000</v>
      </c>
      <c r="CD26" s="167"/>
      <c r="CF26" s="94">
        <f t="shared" si="2"/>
        <v>6792000</v>
      </c>
      <c r="CG26" s="94">
        <f>SUM($AN26:AO26)</f>
        <v>5570000</v>
      </c>
      <c r="CH26" s="94">
        <f>SUM($AN26:AP26)</f>
        <v>3953000</v>
      </c>
      <c r="CI26" s="94">
        <f>SUM($AN26:AQ26)</f>
        <v>3953000</v>
      </c>
      <c r="CJ26" s="94">
        <f t="shared" si="17"/>
        <v>3953000</v>
      </c>
      <c r="CL26" s="94">
        <f t="shared" si="3"/>
        <v>37236000</v>
      </c>
      <c r="CM26" s="94">
        <f>SUM($AT26:AU26)</f>
        <v>43699000</v>
      </c>
      <c r="CN26" s="94">
        <f>SUM($AT26:AV26)</f>
        <v>29560000</v>
      </c>
      <c r="CO26" s="94">
        <f>SUM($AT26:AW26)</f>
        <v>22275000</v>
      </c>
      <c r="CP26" s="94">
        <f t="shared" si="18"/>
        <v>22275000</v>
      </c>
      <c r="CR26" s="94">
        <f t="shared" si="23"/>
        <v>2131000</v>
      </c>
      <c r="CS26" s="94">
        <f>SUM($AZ26:BA26)</f>
        <v>1513000</v>
      </c>
      <c r="CT26" s="94">
        <f>SUM($AZ26:BB26)</f>
        <v>6967000</v>
      </c>
      <c r="CU26" s="94">
        <f>SUM($AZ26:BC26)</f>
        <v>596000</v>
      </c>
      <c r="CV26" s="94">
        <f t="shared" si="24"/>
        <v>596000</v>
      </c>
      <c r="CX26" s="94">
        <f>+BF26</f>
        <v>-1000000</v>
      </c>
      <c r="CY26" s="94">
        <f>SUM($BF26:BG26)</f>
        <v>-632000</v>
      </c>
      <c r="CZ26" s="94">
        <f>SUM($BF26:BH26)</f>
        <v>998000</v>
      </c>
      <c r="DA26" s="94">
        <f>SUM($BF26:BI26)</f>
        <v>33969000</v>
      </c>
      <c r="DB26" s="94">
        <f t="shared" si="26"/>
        <v>33969000</v>
      </c>
      <c r="DD26" s="94">
        <f t="shared" si="27"/>
        <v>-1105000</v>
      </c>
      <c r="DE26" s="94">
        <f>SUM($BL26:BM26)</f>
        <v>-3583000</v>
      </c>
      <c r="DF26" s="94">
        <f>SUM($BL26:BN26)</f>
        <v>-8982000</v>
      </c>
      <c r="DG26" s="94">
        <f>SUM($BL26:BO26)</f>
        <v>-26215000</v>
      </c>
      <c r="DH26" s="94">
        <f t="shared" si="28"/>
        <v>-26215000</v>
      </c>
      <c r="DJ26" s="94">
        <f t="shared" si="29"/>
        <v>-863000</v>
      </c>
      <c r="DK26" s="94">
        <f>SUM($BR26:BS26)</f>
        <v>-7789000</v>
      </c>
      <c r="DL26" s="94">
        <f>SUM($BR26:BT26)</f>
        <v>-13423000</v>
      </c>
      <c r="DM26" s="94">
        <f>SUM($BR26:BU26)</f>
        <v>-25453000</v>
      </c>
      <c r="DN26" s="94">
        <f t="shared" si="30"/>
        <v>-25453000</v>
      </c>
      <c r="DP26" s="94">
        <f t="shared" si="31"/>
        <v>-1898000</v>
      </c>
      <c r="DQ26" s="94">
        <f>SUM($BX26:BY26)</f>
        <v>-16416000</v>
      </c>
      <c r="DR26" s="94">
        <f>SUM($BX26:BZ26)</f>
        <v>-50047000</v>
      </c>
      <c r="DS26" s="94">
        <f>SUM($BX26:CA26)</f>
        <v>5087000</v>
      </c>
      <c r="DT26" s="94">
        <f t="shared" si="32"/>
        <v>5087000</v>
      </c>
    </row>
    <row r="27" spans="1:124" ht="16.649999999999999" customHeight="1" x14ac:dyDescent="0.25">
      <c r="A27" s="254" t="s">
        <v>112</v>
      </c>
      <c r="B27" s="254" t="s">
        <v>112</v>
      </c>
      <c r="D27" s="255">
        <f t="shared" si="33"/>
        <v>8861000</v>
      </c>
      <c r="F27" s="255">
        <f t="shared" si="34"/>
        <v>8834000</v>
      </c>
      <c r="H27" s="255">
        <f t="shared" si="35"/>
        <v>-453000</v>
      </c>
      <c r="J27" s="255">
        <f t="shared" si="36"/>
        <v>13928000</v>
      </c>
      <c r="L27" s="255">
        <f t="shared" si="37"/>
        <v>9737000</v>
      </c>
      <c r="N27" s="255">
        <f t="shared" si="38"/>
        <v>271000</v>
      </c>
      <c r="P27" s="198">
        <f t="shared" si="39"/>
        <v>27000</v>
      </c>
      <c r="R27" s="198">
        <f t="shared" si="40"/>
        <v>9287000</v>
      </c>
      <c r="Z27" s="198">
        <f t="shared" si="0"/>
        <v>4191000</v>
      </c>
      <c r="AB27" s="198">
        <f t="shared" si="1"/>
        <v>9466000</v>
      </c>
      <c r="AJ27" s="253">
        <f t="shared" si="5"/>
        <v>21</v>
      </c>
      <c r="AL27" s="276"/>
      <c r="AN27" s="157">
        <v>7503000</v>
      </c>
      <c r="AO27" s="157">
        <v>-2436000</v>
      </c>
      <c r="AP27" s="157">
        <v>8861000</v>
      </c>
      <c r="AR27" s="157">
        <f t="shared" si="14"/>
        <v>13928000</v>
      </c>
      <c r="AT27" s="157">
        <v>7098000</v>
      </c>
      <c r="AU27" s="157">
        <v>-6195000</v>
      </c>
      <c r="AV27" s="157">
        <v>8834000</v>
      </c>
      <c r="AW27" s="157">
        <v>-1403000</v>
      </c>
      <c r="AX27" s="157">
        <f t="shared" si="15"/>
        <v>8334000</v>
      </c>
      <c r="AZ27" s="157">
        <v>-1120000</v>
      </c>
      <c r="BA27" s="157">
        <v>1844000</v>
      </c>
      <c r="BB27" s="157">
        <v>-453000</v>
      </c>
      <c r="BC27" s="157">
        <v>3937000</v>
      </c>
      <c r="BD27" s="157">
        <f t="shared" si="41"/>
        <v>4208000</v>
      </c>
      <c r="BF27" s="157">
        <v>-419000</v>
      </c>
      <c r="BG27" s="157">
        <v>-82000</v>
      </c>
      <c r="BH27" s="157">
        <v>3927000</v>
      </c>
      <c r="BI27" s="157">
        <v>1258000</v>
      </c>
      <c r="BJ27" s="157">
        <f t="shared" si="42"/>
        <v>4684000</v>
      </c>
      <c r="BL27" s="157">
        <v>-657000</v>
      </c>
      <c r="BM27" s="157">
        <v>556000</v>
      </c>
      <c r="BN27" s="157">
        <v>5168000</v>
      </c>
      <c r="BO27" s="157">
        <v>-156000</v>
      </c>
      <c r="BP27" s="157">
        <f t="shared" si="20"/>
        <v>4911000</v>
      </c>
      <c r="BR27" s="157">
        <v>-1101000</v>
      </c>
      <c r="BS27" s="157">
        <v>968000</v>
      </c>
      <c r="BT27" s="157">
        <v>-102000</v>
      </c>
      <c r="BU27" s="157">
        <v>2058000</v>
      </c>
      <c r="BV27" s="157">
        <f t="shared" si="21"/>
        <v>1823000</v>
      </c>
      <c r="BX27" s="157">
        <v>427000</v>
      </c>
      <c r="BY27" s="157">
        <v>-1942000</v>
      </c>
      <c r="BZ27" s="157">
        <v>-40000</v>
      </c>
      <c r="CA27" s="157">
        <v>2017000</v>
      </c>
      <c r="CB27" s="157">
        <f t="shared" si="22"/>
        <v>462000</v>
      </c>
      <c r="CD27" s="167"/>
      <c r="CF27" s="157">
        <f t="shared" si="2"/>
        <v>7503000</v>
      </c>
      <c r="CG27" s="157">
        <f>SUM($AN27:AO27)</f>
        <v>5067000</v>
      </c>
      <c r="CH27" s="157">
        <f>SUM($AN27:AP27)</f>
        <v>13928000</v>
      </c>
      <c r="CI27" s="157">
        <f>SUM($AN27:AQ27)</f>
        <v>13928000</v>
      </c>
      <c r="CJ27" s="157">
        <f t="shared" si="17"/>
        <v>13928000</v>
      </c>
      <c r="CL27" s="157">
        <f t="shared" si="3"/>
        <v>7098000</v>
      </c>
      <c r="CM27" s="157">
        <f>SUM($AT27:AU27)</f>
        <v>903000</v>
      </c>
      <c r="CN27" s="157">
        <f>SUM($AT27:AV27)</f>
        <v>9737000</v>
      </c>
      <c r="CO27" s="157">
        <f>SUM($AT27:AW27)</f>
        <v>8334000</v>
      </c>
      <c r="CP27" s="157">
        <f t="shared" si="18"/>
        <v>8334000</v>
      </c>
      <c r="CR27" s="157">
        <f t="shared" si="23"/>
        <v>-1120000</v>
      </c>
      <c r="CS27" s="157">
        <f>SUM($AZ27:BA27)</f>
        <v>724000</v>
      </c>
      <c r="CT27" s="157">
        <f>SUM($AZ27:BB27)</f>
        <v>271000</v>
      </c>
      <c r="CU27" s="157">
        <f>SUM($AZ27:BC27)</f>
        <v>4208000</v>
      </c>
      <c r="CV27" s="157">
        <f t="shared" si="24"/>
        <v>4208000</v>
      </c>
      <c r="CX27" s="157">
        <f>+BF27</f>
        <v>-419000</v>
      </c>
      <c r="CY27" s="157">
        <f>SUM($BF27:BG27)</f>
        <v>-501000</v>
      </c>
      <c r="CZ27" s="157">
        <f>SUM($BF27:BH27)</f>
        <v>3426000</v>
      </c>
      <c r="DA27" s="157">
        <f>SUM($BF27:BI27)</f>
        <v>4684000</v>
      </c>
      <c r="DB27" s="157">
        <f t="shared" si="26"/>
        <v>4684000</v>
      </c>
      <c r="DD27" s="157">
        <f t="shared" si="27"/>
        <v>-657000</v>
      </c>
      <c r="DE27" s="157">
        <f>SUM($BL27:BM27)</f>
        <v>-101000</v>
      </c>
      <c r="DF27" s="157">
        <f>SUM($BL27:BN27)</f>
        <v>5067000</v>
      </c>
      <c r="DG27" s="157">
        <f>SUM($BL27:BO27)</f>
        <v>4911000</v>
      </c>
      <c r="DH27" s="157">
        <f t="shared" si="28"/>
        <v>4911000</v>
      </c>
      <c r="DJ27" s="157">
        <f t="shared" si="29"/>
        <v>-1101000</v>
      </c>
      <c r="DK27" s="157">
        <f>SUM($BR27:BS27)</f>
        <v>-133000</v>
      </c>
      <c r="DL27" s="157">
        <f>SUM($BR27:BT27)</f>
        <v>-235000</v>
      </c>
      <c r="DM27" s="157">
        <f>SUM($BR27:BU27)</f>
        <v>1823000</v>
      </c>
      <c r="DN27" s="157">
        <f t="shared" si="30"/>
        <v>1823000</v>
      </c>
      <c r="DP27" s="157">
        <f t="shared" si="31"/>
        <v>427000</v>
      </c>
      <c r="DQ27" s="157">
        <f>SUM($BX27:BY27)</f>
        <v>-1515000</v>
      </c>
      <c r="DR27" s="157">
        <f>SUM($BX27:BZ27)</f>
        <v>-1555000</v>
      </c>
      <c r="DS27" s="157">
        <f>SUM($BX27:CA27)</f>
        <v>462000</v>
      </c>
      <c r="DT27" s="157">
        <f t="shared" si="32"/>
        <v>462000</v>
      </c>
    </row>
    <row r="28" spans="1:124" ht="27.5" customHeight="1" x14ac:dyDescent="0.25">
      <c r="A28" s="256" t="str">
        <f>IF(T28=V28,T28,"Net cash provided by (used in) operating activities")</f>
        <v>Net cash provided by operating activities</v>
      </c>
      <c r="B28" s="256" t="str">
        <f>IF(AD28=AF28,AD28,"Net cash provided by (used in) operating activities")</f>
        <v>Net cash provided by operating activities</v>
      </c>
      <c r="D28" s="257">
        <f>SUM(D9:D27)</f>
        <v>45117000</v>
      </c>
      <c r="F28" s="257">
        <f>SUM(F9:F27)</f>
        <v>16556000</v>
      </c>
      <c r="H28" s="257">
        <f>SUM(H9:H27)</f>
        <v>15770000</v>
      </c>
      <c r="J28" s="257">
        <f>SUM(J9:J27)</f>
        <v>91385000</v>
      </c>
      <c r="L28" s="257">
        <f>SUM(L9:L27)</f>
        <v>78013000</v>
      </c>
      <c r="N28" s="257">
        <f>SUM(N9:N27)</f>
        <v>3776000</v>
      </c>
      <c r="P28" s="198">
        <f t="shared" si="39"/>
        <v>28561000</v>
      </c>
      <c r="R28" s="198">
        <f t="shared" si="40"/>
        <v>786000</v>
      </c>
      <c r="T28" s="54" t="str">
        <f>IF(D28&gt;0,"Net cash provided by operating activities","Net cash used in operating activities")</f>
        <v>Net cash provided by operating activities</v>
      </c>
      <c r="V28" s="54" t="str">
        <f>IF(F28&gt;0,"net cash provided by operating activities","net cash used in operating activities")</f>
        <v>net cash provided by operating activities</v>
      </c>
      <c r="X28" s="54" t="str">
        <f>IF(H28&gt;0,"Net cash provided by operating activities","Net cash used in operating activities")</f>
        <v>Net cash provided by operating activities</v>
      </c>
      <c r="Z28" s="198">
        <f t="shared" si="0"/>
        <v>13372000</v>
      </c>
      <c r="AB28" s="198">
        <f t="shared" si="1"/>
        <v>74237000</v>
      </c>
      <c r="AD28" s="54" t="str">
        <f>IF(J28&gt;0,"Net cash provided by operating activities","Net cash used in operating activities")</f>
        <v>Net cash provided by operating activities</v>
      </c>
      <c r="AF28" s="54" t="str">
        <f>IF(L28&gt;0,"Net cash provided by operating activities","Net cash used in operating activities")</f>
        <v>Net cash provided by operating activities</v>
      </c>
      <c r="AH28" s="54" t="str">
        <f>IF(N28&gt;0,"Net cash provided by operating activities","Net cash used in operating activities")</f>
        <v>Net cash provided by operating activities</v>
      </c>
      <c r="AJ28" s="253">
        <f t="shared" si="5"/>
        <v>22</v>
      </c>
      <c r="AL28" s="276"/>
      <c r="AN28" s="159">
        <f>SUM(AN9:AN27)</f>
        <v>-9328000</v>
      </c>
      <c r="AO28" s="159">
        <f>SUM(AO9:AO27)</f>
        <v>55596000</v>
      </c>
      <c r="AP28" s="159">
        <f>SUM(AP9:AP27)</f>
        <v>45117000</v>
      </c>
      <c r="AQ28" s="159">
        <f>SUM(AQ9:AQ27)</f>
        <v>0</v>
      </c>
      <c r="AR28" s="159">
        <f>SUM(AR9:AR27)</f>
        <v>91385000</v>
      </c>
      <c r="AT28" s="159">
        <f>SUM(AT9:AT27)</f>
        <v>25693000</v>
      </c>
      <c r="AU28" s="159">
        <f>SUM(AU9:AU27)</f>
        <v>35764000</v>
      </c>
      <c r="AV28" s="159">
        <f>SUM(AV9:AV27)</f>
        <v>16556000</v>
      </c>
      <c r="AW28" s="159">
        <f>SUM(AW9:AW27)</f>
        <v>27643000</v>
      </c>
      <c r="AX28" s="159">
        <f>SUM(AX9:AX27)</f>
        <v>105656000</v>
      </c>
      <c r="AZ28" s="159">
        <f>SUM(AZ9:AZ27)</f>
        <v>-33369000</v>
      </c>
      <c r="BA28" s="159">
        <f>SUM(BA9:BA27)</f>
        <v>21375000</v>
      </c>
      <c r="BB28" s="159">
        <f>SUM(BB9:BB27)</f>
        <v>15770000</v>
      </c>
      <c r="BC28" s="159">
        <f>SUM(BC9:BC27)</f>
        <v>30665000</v>
      </c>
      <c r="BD28" s="159">
        <f>SUM(BD9:BD27)</f>
        <v>34441000</v>
      </c>
      <c r="BF28" s="159">
        <f>SUM(BF9:BF27)</f>
        <v>-17241000</v>
      </c>
      <c r="BG28" s="159">
        <f>SUM(BG9:BG27)</f>
        <v>10901000</v>
      </c>
      <c r="BH28" s="159">
        <f>SUM(BH9:BH27)</f>
        <v>25473000</v>
      </c>
      <c r="BI28" s="159">
        <f>SUM(BI9:BI27)</f>
        <v>58944000</v>
      </c>
      <c r="BJ28" s="159">
        <f>SUM(BJ9:BJ27)</f>
        <v>78077000</v>
      </c>
      <c r="BL28" s="159">
        <f>SUM(BL9:BL27)</f>
        <v>-23612000</v>
      </c>
      <c r="BM28" s="159">
        <f>SUM(BM9:BM27)</f>
        <v>6249000</v>
      </c>
      <c r="BN28" s="159">
        <f>SUM(BN9:BN27)</f>
        <v>14690000</v>
      </c>
      <c r="BO28" s="159">
        <f>SUM(BO9:BO27)</f>
        <v>-17887000</v>
      </c>
      <c r="BP28" s="159">
        <f>SUM(BP9:BP27)</f>
        <v>-20560000</v>
      </c>
      <c r="BR28" s="159">
        <f>SUM(BR9:BR27)</f>
        <v>-15408000</v>
      </c>
      <c r="BS28" s="159">
        <f>SUM(BS9:BS27)</f>
        <v>-28751000</v>
      </c>
      <c r="BT28" s="159">
        <f>SUM(BT9:BT27)</f>
        <v>15804000</v>
      </c>
      <c r="BU28" s="159">
        <f>SUM(BU9:BU27)</f>
        <v>-220000</v>
      </c>
      <c r="BV28" s="159">
        <f>SUM(BV9:BV27)</f>
        <v>-28575000</v>
      </c>
      <c r="BX28" s="159">
        <f>SUM(BX9:BX27)</f>
        <v>-2280000</v>
      </c>
      <c r="BY28" s="159">
        <f>SUM(BY9:BY27)</f>
        <v>-27130000</v>
      </c>
      <c r="BZ28" s="159">
        <f>SUM(BZ9:BZ27)</f>
        <v>-10922000</v>
      </c>
      <c r="CA28" s="159">
        <f>SUM(CA9:CA27)</f>
        <v>38354000</v>
      </c>
      <c r="CB28" s="159">
        <f>SUM(CB9:CB27)</f>
        <v>-1978000</v>
      </c>
      <c r="CD28" s="172"/>
      <c r="CF28" s="159">
        <f>SUM(CF9:CF27)</f>
        <v>-9328000</v>
      </c>
      <c r="CG28" s="159">
        <f>SUM(CG9:CG27)</f>
        <v>46268000</v>
      </c>
      <c r="CH28" s="159">
        <f>SUM(CH9:CH27)</f>
        <v>91385000</v>
      </c>
      <c r="CI28" s="159">
        <f>SUM(CI9:CI27)</f>
        <v>91385000</v>
      </c>
      <c r="CJ28" s="159">
        <f>SUM(CJ9:CJ27)</f>
        <v>91385000</v>
      </c>
      <c r="CL28" s="159">
        <f>SUM(CL9:CL27)</f>
        <v>25693000</v>
      </c>
      <c r="CM28" s="159">
        <f>SUM(CM9:CM27)</f>
        <v>61457000</v>
      </c>
      <c r="CN28" s="159">
        <f>SUM(CN9:CN27)</f>
        <v>78013000</v>
      </c>
      <c r="CO28" s="159">
        <f>SUM(CO9:CO27)</f>
        <v>105656000</v>
      </c>
      <c r="CP28" s="159">
        <f>SUM(CP9:CP27)</f>
        <v>105656000</v>
      </c>
      <c r="CR28" s="159">
        <f>SUM(CR9:CR27)</f>
        <v>-33369000</v>
      </c>
      <c r="CS28" s="159">
        <f>SUM(CS9:CS27)</f>
        <v>-11994000</v>
      </c>
      <c r="CT28" s="159">
        <f>SUM(CT9:CT27)</f>
        <v>3776000</v>
      </c>
      <c r="CU28" s="159">
        <f>SUM(CU9:CU27)</f>
        <v>34441000</v>
      </c>
      <c r="CV28" s="159">
        <f>SUM(CV9:CV27)</f>
        <v>34441000</v>
      </c>
      <c r="CX28" s="159">
        <f>SUM(CX9:CX27)</f>
        <v>-17241000</v>
      </c>
      <c r="CY28" s="159">
        <f>SUM(CY9:CY27)</f>
        <v>-6340000</v>
      </c>
      <c r="CZ28" s="159">
        <f>SUM(CZ9:CZ27)</f>
        <v>19133000</v>
      </c>
      <c r="DA28" s="159">
        <f>SUM(DA9:DA27)</f>
        <v>78077000</v>
      </c>
      <c r="DB28" s="159">
        <f>SUM(DB9:DB27)</f>
        <v>78077000</v>
      </c>
      <c r="DD28" s="159">
        <f>SUM(DD9:DD27)</f>
        <v>-23612000</v>
      </c>
      <c r="DE28" s="159">
        <f>SUM(DE9:DE27)</f>
        <v>-17363000</v>
      </c>
      <c r="DF28" s="159">
        <f>SUM(DF9:DF27)</f>
        <v>-2673000</v>
      </c>
      <c r="DG28" s="159">
        <f>SUM(DG9:DG27)</f>
        <v>-20560000</v>
      </c>
      <c r="DH28" s="159">
        <f>SUM(DH9:DH27)</f>
        <v>-20560000</v>
      </c>
      <c r="DJ28" s="159">
        <f>SUM(DJ9:DJ27)</f>
        <v>-15408000</v>
      </c>
      <c r="DK28" s="159">
        <f>SUM(DK9:DK27)</f>
        <v>-44159000</v>
      </c>
      <c r="DL28" s="159">
        <f>SUM(DL9:DL27)</f>
        <v>-28355000</v>
      </c>
      <c r="DM28" s="159">
        <f>SUM(DM9:DM27)</f>
        <v>-28575000</v>
      </c>
      <c r="DN28" s="159">
        <f>SUM(DN9:DN27)</f>
        <v>-28575000</v>
      </c>
      <c r="DP28" s="159">
        <f>SUM(DP9:DP27)</f>
        <v>-2280000</v>
      </c>
      <c r="DQ28" s="159">
        <f>SUM(DQ9:DQ27)</f>
        <v>-29410000</v>
      </c>
      <c r="DR28" s="159">
        <f>SUM(DR9:DR27)</f>
        <v>-40332000</v>
      </c>
      <c r="DS28" s="159">
        <f>SUM(DS9:DS27)</f>
        <v>-1978000</v>
      </c>
      <c r="DT28" s="159">
        <f>SUM(DT9:DT27)</f>
        <v>-1978000</v>
      </c>
    </row>
    <row r="29" spans="1:124" ht="16.649999999999999" customHeight="1" x14ac:dyDescent="0.25">
      <c r="A29" s="22" t="s">
        <v>353</v>
      </c>
      <c r="B29" s="22" t="s">
        <v>353</v>
      </c>
      <c r="D29" s="50"/>
      <c r="F29" s="50"/>
      <c r="H29" s="50"/>
      <c r="J29" s="50"/>
      <c r="L29" s="50"/>
      <c r="N29" s="50"/>
      <c r="Z29" s="198">
        <f t="shared" si="0"/>
        <v>0</v>
      </c>
      <c r="AB29" s="198">
        <f t="shared" si="1"/>
        <v>0</v>
      </c>
      <c r="AJ29" s="253">
        <f t="shared" si="5"/>
        <v>23</v>
      </c>
      <c r="AL29" s="240"/>
      <c r="AN29" s="102"/>
      <c r="AO29" s="102"/>
      <c r="AP29" s="102"/>
      <c r="AQ29" s="102"/>
      <c r="AR29" s="102"/>
      <c r="AT29" s="102"/>
      <c r="AU29" s="102"/>
      <c r="AV29" s="102"/>
      <c r="AW29" s="102"/>
      <c r="AX29" s="102"/>
      <c r="AZ29" s="102"/>
      <c r="BA29" s="102"/>
      <c r="BB29" s="102"/>
      <c r="BC29" s="102"/>
      <c r="BD29" s="102"/>
      <c r="BF29" s="102"/>
      <c r="BG29" s="102"/>
      <c r="BH29" s="102"/>
      <c r="BI29" s="102"/>
      <c r="BJ29" s="102"/>
      <c r="BL29" s="102"/>
      <c r="BM29" s="102"/>
      <c r="BN29" s="102"/>
      <c r="BO29" s="102"/>
      <c r="BP29" s="102"/>
      <c r="BR29" s="102"/>
      <c r="BS29" s="102"/>
      <c r="BT29" s="102"/>
      <c r="BU29" s="102"/>
      <c r="BV29" s="102"/>
      <c r="BX29" s="102"/>
      <c r="BY29" s="102"/>
      <c r="BZ29" s="102"/>
      <c r="CA29" s="102"/>
      <c r="CB29" s="102"/>
      <c r="CD29" s="167"/>
      <c r="CF29" s="102"/>
      <c r="CG29" s="102"/>
      <c r="CH29" s="102"/>
      <c r="CI29" s="102"/>
      <c r="CJ29" s="102"/>
      <c r="CL29" s="102"/>
      <c r="CM29" s="102"/>
      <c r="CN29" s="102"/>
      <c r="CO29" s="102"/>
      <c r="CP29" s="102"/>
      <c r="CR29" s="102"/>
      <c r="CS29" s="102"/>
      <c r="CT29" s="102"/>
      <c r="CU29" s="102"/>
      <c r="CV29" s="102"/>
      <c r="CX29" s="102"/>
      <c r="CY29" s="102"/>
      <c r="CZ29" s="102"/>
      <c r="DA29" s="102"/>
      <c r="DB29" s="102"/>
      <c r="DD29" s="102"/>
      <c r="DE29" s="102"/>
      <c r="DF29" s="102"/>
      <c r="DG29" s="102"/>
      <c r="DH29" s="102"/>
      <c r="DJ29" s="102"/>
      <c r="DK29" s="102"/>
      <c r="DL29" s="102"/>
      <c r="DM29" s="102"/>
      <c r="DN29" s="102"/>
      <c r="DP29" s="102"/>
      <c r="DQ29" s="102"/>
      <c r="DR29" s="102"/>
      <c r="DS29" s="102"/>
      <c r="DT29" s="102"/>
    </row>
    <row r="30" spans="1:124" ht="16.649999999999999" customHeight="1" x14ac:dyDescent="0.25">
      <c r="A30" s="130" t="s">
        <v>354</v>
      </c>
      <c r="B30" s="130" t="s">
        <v>354</v>
      </c>
      <c r="D30" s="83">
        <f t="shared" ref="D30:D38" si="43">HLOOKUP(D$7,$AL$7:$CD$75,$AJ30,FALSE)</f>
        <v>0</v>
      </c>
      <c r="F30" s="83">
        <f t="shared" ref="F30:F38" si="44">HLOOKUP(F$7,$AL$7:$CD$75,$AJ30,FALSE)</f>
        <v>0</v>
      </c>
      <c r="H30" s="83">
        <f t="shared" ref="H30:H38" si="45">HLOOKUP(H$7,$AL$7:$CD$75,$AJ30,FALSE)</f>
        <v>0</v>
      </c>
      <c r="J30" s="83">
        <f t="shared" ref="J30:J38" si="46">HLOOKUP(J$7,$CD$7:$DU$75,$AJ30,FALSE)</f>
        <v>0</v>
      </c>
      <c r="L30" s="83">
        <f t="shared" ref="L30:L38" si="47">HLOOKUP(L$7,$CD$7:$DU$75,$AJ30,FALSE)</f>
        <v>0</v>
      </c>
      <c r="N30" s="83">
        <f t="shared" ref="N30:N38" si="48">HLOOKUP(N$7,$CD$7:$DU$75,$AJ30,FALSE)</f>
        <v>0</v>
      </c>
      <c r="P30" s="198">
        <f t="shared" ref="P30:P39" si="49">+D30-F30</f>
        <v>0</v>
      </c>
      <c r="R30" s="198">
        <f t="shared" ref="R30:R39" si="50">+F30-H30</f>
        <v>0</v>
      </c>
      <c r="Z30" s="198">
        <f t="shared" si="0"/>
        <v>0</v>
      </c>
      <c r="AB30" s="198">
        <f t="shared" si="1"/>
        <v>0</v>
      </c>
      <c r="AJ30" s="253">
        <f t="shared" si="5"/>
        <v>24</v>
      </c>
      <c r="AL30" s="276"/>
      <c r="AN30" s="94">
        <v>0</v>
      </c>
      <c r="AO30" s="94">
        <v>0</v>
      </c>
      <c r="AP30" s="94">
        <v>0</v>
      </c>
      <c r="AQ30" s="94">
        <v>0</v>
      </c>
      <c r="AR30" s="94">
        <f t="shared" ref="AR30:AR38" si="51">SUM(AN30:AQ30)</f>
        <v>0</v>
      </c>
      <c r="AT30" s="94">
        <v>0</v>
      </c>
      <c r="AU30" s="94">
        <v>0</v>
      </c>
      <c r="AV30" s="94">
        <v>0</v>
      </c>
      <c r="AW30" s="94">
        <v>0</v>
      </c>
      <c r="AX30" s="94">
        <f t="shared" ref="AX30:AX38" si="52">SUM(AT30:AW30)</f>
        <v>0</v>
      </c>
      <c r="BD30" s="94">
        <f t="shared" ref="BD30:BD38" si="53">SUM(AZ30:BC30)</f>
        <v>0</v>
      </c>
      <c r="BJ30" s="94">
        <f t="shared" ref="BJ30:BJ35" si="54">SUM(BF30:BI30)</f>
        <v>0</v>
      </c>
      <c r="BL30" s="94">
        <v>0</v>
      </c>
      <c r="BM30" s="94">
        <v>0</v>
      </c>
      <c r="BN30" s="94">
        <v>0</v>
      </c>
      <c r="BO30" s="94">
        <v>0</v>
      </c>
      <c r="BP30" s="94">
        <f>SUM(BL30:BO30)</f>
        <v>0</v>
      </c>
      <c r="BR30" s="94">
        <v>0</v>
      </c>
      <c r="BS30" s="94">
        <v>0</v>
      </c>
      <c r="BT30" s="94">
        <v>0</v>
      </c>
      <c r="BU30" s="94">
        <v>0</v>
      </c>
      <c r="BV30" s="94">
        <f>SUM(BR30:BU30)</f>
        <v>0</v>
      </c>
      <c r="BX30" s="94">
        <v>-899000</v>
      </c>
      <c r="BY30" s="94">
        <v>-423000</v>
      </c>
      <c r="BZ30" s="94">
        <v>0</v>
      </c>
      <c r="CA30" s="94">
        <v>0</v>
      </c>
      <c r="CB30" s="94">
        <f>SUM(BX30:CA30)</f>
        <v>-1322000</v>
      </c>
      <c r="CD30" s="167"/>
      <c r="CF30" s="94">
        <f t="shared" ref="CF30:CF38" si="55">+AN30</f>
        <v>0</v>
      </c>
      <c r="CG30" s="94">
        <f>SUM($AN30:AO30)</f>
        <v>0</v>
      </c>
      <c r="CH30" s="94">
        <f>SUM($AN30:AP30)</f>
        <v>0</v>
      </c>
      <c r="CI30" s="94">
        <f>SUM($AN30:AQ30)</f>
        <v>0</v>
      </c>
      <c r="CJ30" s="94">
        <f t="shared" ref="CJ30:CJ38" si="56">+AR30</f>
        <v>0</v>
      </c>
      <c r="CL30" s="94">
        <f t="shared" ref="CL30:CL38" si="57">+AT30</f>
        <v>0</v>
      </c>
      <c r="CM30" s="94">
        <f>SUM($AT30:AU30)</f>
        <v>0</v>
      </c>
      <c r="CN30" s="94">
        <f>SUM($AT30:AV30)</f>
        <v>0</v>
      </c>
      <c r="CO30" s="94">
        <f>SUM($AT30:AW30)</f>
        <v>0</v>
      </c>
      <c r="CP30" s="94">
        <f t="shared" ref="CP30:CP38" si="58">+AX30</f>
        <v>0</v>
      </c>
      <c r="CR30" s="94">
        <f t="shared" ref="CR30:CR38" si="59">+AZ30</f>
        <v>0</v>
      </c>
      <c r="CS30" s="94">
        <f>SUM($AZ30:BA30)</f>
        <v>0</v>
      </c>
      <c r="CT30" s="94">
        <f>SUM($AZ30:BB30)</f>
        <v>0</v>
      </c>
      <c r="CU30" s="94">
        <f>SUM($AZ30:BC30)</f>
        <v>0</v>
      </c>
      <c r="CV30" s="94">
        <f t="shared" ref="CV30:CV38" si="60">+BD30</f>
        <v>0</v>
      </c>
      <c r="CX30" s="94">
        <f t="shared" ref="CX30:CX38" si="61">+BF30</f>
        <v>0</v>
      </c>
      <c r="CY30" s="94">
        <f>SUM($BF30:BG30)</f>
        <v>0</v>
      </c>
      <c r="CZ30" s="94">
        <f>SUM($BF30:BH30)</f>
        <v>0</v>
      </c>
      <c r="DA30" s="94">
        <f>SUM($BF30:BI30)</f>
        <v>0</v>
      </c>
      <c r="DB30" s="94">
        <f t="shared" ref="DB30:DB38" si="62">+BJ30</f>
        <v>0</v>
      </c>
      <c r="DD30" s="94">
        <f>+BL30</f>
        <v>0</v>
      </c>
      <c r="DE30" s="94">
        <f>SUM($BL30:BM30)</f>
        <v>0</v>
      </c>
      <c r="DF30" s="94">
        <f>SUM($BL30:BN30)</f>
        <v>0</v>
      </c>
      <c r="DG30" s="94">
        <f>SUM($BL30:BO30)</f>
        <v>0</v>
      </c>
      <c r="DH30" s="94">
        <f>+BP30</f>
        <v>0</v>
      </c>
      <c r="DJ30" s="94">
        <f>+BR30</f>
        <v>0</v>
      </c>
      <c r="DK30" s="94">
        <f>SUM($BR30:BS30)</f>
        <v>0</v>
      </c>
      <c r="DL30" s="94">
        <f>SUM($BR30:BT30)</f>
        <v>0</v>
      </c>
      <c r="DM30" s="94">
        <f>SUM($BR30:BU30)</f>
        <v>0</v>
      </c>
      <c r="DN30" s="94">
        <f>+BV30</f>
        <v>0</v>
      </c>
      <c r="DP30" s="94">
        <f>+BX30</f>
        <v>-899000</v>
      </c>
      <c r="DQ30" s="94">
        <f>SUM($BX30:BY30)</f>
        <v>-1322000</v>
      </c>
      <c r="DR30" s="94">
        <f>SUM($BX30:BZ30)</f>
        <v>-1322000</v>
      </c>
      <c r="DS30" s="94">
        <f>SUM($BX30:CA30)</f>
        <v>-1322000</v>
      </c>
      <c r="DT30" s="94">
        <f>+CB30</f>
        <v>-1322000</v>
      </c>
    </row>
    <row r="31" spans="1:124" ht="16.649999999999999" customHeight="1" x14ac:dyDescent="0.25">
      <c r="A31" s="130" t="s">
        <v>355</v>
      </c>
      <c r="B31" s="130" t="s">
        <v>355</v>
      </c>
      <c r="D31" s="83">
        <f t="shared" si="43"/>
        <v>-282000</v>
      </c>
      <c r="F31" s="83">
        <f t="shared" si="44"/>
        <v>-2211000</v>
      </c>
      <c r="H31" s="83">
        <f t="shared" si="45"/>
        <v>-179000</v>
      </c>
      <c r="J31" s="83">
        <f t="shared" si="46"/>
        <v>-749000</v>
      </c>
      <c r="L31" s="83">
        <f t="shared" si="47"/>
        <v>-2464000</v>
      </c>
      <c r="N31" s="83">
        <f t="shared" si="48"/>
        <v>-4593000</v>
      </c>
      <c r="P31" s="198">
        <f t="shared" si="49"/>
        <v>1929000</v>
      </c>
      <c r="R31" s="198">
        <f t="shared" si="50"/>
        <v>-2032000</v>
      </c>
      <c r="Z31" s="198">
        <f t="shared" si="0"/>
        <v>1715000</v>
      </c>
      <c r="AB31" s="198">
        <f t="shared" si="1"/>
        <v>2129000</v>
      </c>
      <c r="AJ31" s="253">
        <f t="shared" si="5"/>
        <v>25</v>
      </c>
      <c r="AL31" s="276"/>
      <c r="AN31" s="94">
        <v>-226000</v>
      </c>
      <c r="AO31" s="94">
        <v>-241000</v>
      </c>
      <c r="AP31" s="94">
        <v>-282000</v>
      </c>
      <c r="AQ31" s="94">
        <v>0</v>
      </c>
      <c r="AR31" s="94">
        <f t="shared" si="51"/>
        <v>-749000</v>
      </c>
      <c r="AT31" s="94">
        <v>-53000</v>
      </c>
      <c r="AU31" s="94">
        <v>-200000</v>
      </c>
      <c r="AV31" s="94">
        <v>-2211000</v>
      </c>
      <c r="AW31" s="94">
        <v>-1791000</v>
      </c>
      <c r="AX31" s="94">
        <f t="shared" si="52"/>
        <v>-4255000</v>
      </c>
      <c r="AZ31" s="94">
        <v>-1741000</v>
      </c>
      <c r="BA31" s="94">
        <v>-2673000</v>
      </c>
      <c r="BB31" s="94">
        <v>-179000</v>
      </c>
      <c r="BC31" s="94">
        <v>-103000</v>
      </c>
      <c r="BD31" s="94">
        <f t="shared" si="53"/>
        <v>-4696000</v>
      </c>
      <c r="BF31" s="94">
        <v>-427000</v>
      </c>
      <c r="BG31" s="94">
        <v>-876000</v>
      </c>
      <c r="BH31" s="94">
        <v>-1316000</v>
      </c>
      <c r="BI31" s="94">
        <v>-1880000</v>
      </c>
      <c r="BJ31" s="94">
        <f t="shared" si="54"/>
        <v>-4499000</v>
      </c>
      <c r="BL31" s="94">
        <v>-832000</v>
      </c>
      <c r="BM31" s="94">
        <v>-296000</v>
      </c>
      <c r="BN31" s="94">
        <v>-678000</v>
      </c>
      <c r="BO31" s="94">
        <v>-376000</v>
      </c>
      <c r="BP31" s="94">
        <f>SUM(BL31:BO31)</f>
        <v>-2182000</v>
      </c>
      <c r="BR31" s="94">
        <v>-4888000</v>
      </c>
      <c r="BS31" s="94">
        <v>-2641000</v>
      </c>
      <c r="BT31" s="94">
        <v>-2773000</v>
      </c>
      <c r="BU31" s="94">
        <v>-1409000</v>
      </c>
      <c r="BV31" s="94">
        <f>SUM(BR31:BU31)</f>
        <v>-11711000</v>
      </c>
      <c r="BX31" s="94">
        <v>-712000</v>
      </c>
      <c r="BY31" s="94">
        <v>-1323000</v>
      </c>
      <c r="BZ31" s="94">
        <v>-1938000</v>
      </c>
      <c r="CA31" s="94">
        <v>-3347000</v>
      </c>
      <c r="CB31" s="94">
        <f>SUM(BX31:CA31)</f>
        <v>-7320000</v>
      </c>
      <c r="CD31" s="167"/>
      <c r="CF31" s="94">
        <f t="shared" si="55"/>
        <v>-226000</v>
      </c>
      <c r="CG31" s="94">
        <f>SUM($AN31:AO31)</f>
        <v>-467000</v>
      </c>
      <c r="CH31" s="94">
        <f>SUM($AN31:AP31)</f>
        <v>-749000</v>
      </c>
      <c r="CI31" s="94">
        <f>SUM($AN31:AQ31)</f>
        <v>-749000</v>
      </c>
      <c r="CJ31" s="94">
        <f t="shared" si="56"/>
        <v>-749000</v>
      </c>
      <c r="CL31" s="94">
        <f t="shared" si="57"/>
        <v>-53000</v>
      </c>
      <c r="CM31" s="94">
        <f>SUM($AT31:AU31)</f>
        <v>-253000</v>
      </c>
      <c r="CN31" s="94">
        <f>SUM($AT31:AV31)</f>
        <v>-2464000</v>
      </c>
      <c r="CO31" s="94">
        <f>SUM($AT31:AW31)</f>
        <v>-4255000</v>
      </c>
      <c r="CP31" s="94">
        <f t="shared" si="58"/>
        <v>-4255000</v>
      </c>
      <c r="CR31" s="94">
        <f t="shared" si="59"/>
        <v>-1741000</v>
      </c>
      <c r="CS31" s="94">
        <f>SUM($AZ31:BA31)</f>
        <v>-4414000</v>
      </c>
      <c r="CT31" s="94">
        <f>SUM($AZ31:BB31)</f>
        <v>-4593000</v>
      </c>
      <c r="CU31" s="94">
        <f>SUM($AZ31:BC31)</f>
        <v>-4696000</v>
      </c>
      <c r="CV31" s="94">
        <f t="shared" si="60"/>
        <v>-4696000</v>
      </c>
      <c r="CX31" s="94">
        <f t="shared" si="61"/>
        <v>-427000</v>
      </c>
      <c r="CY31" s="94">
        <f>SUM($BF31:BG31)</f>
        <v>-1303000</v>
      </c>
      <c r="CZ31" s="94">
        <f>SUM($BF31:BH31)</f>
        <v>-2619000</v>
      </c>
      <c r="DA31" s="94">
        <f>SUM($BF31:BI31)</f>
        <v>-4499000</v>
      </c>
      <c r="DB31" s="94">
        <f t="shared" si="62"/>
        <v>-4499000</v>
      </c>
      <c r="DD31" s="94">
        <f>+BL31</f>
        <v>-832000</v>
      </c>
      <c r="DE31" s="94">
        <f>SUM($BL31:BM31)</f>
        <v>-1128000</v>
      </c>
      <c r="DF31" s="94">
        <f>SUM($BL31:BN31)</f>
        <v>-1806000</v>
      </c>
      <c r="DG31" s="94">
        <f>SUM($BL31:BO31)</f>
        <v>-2182000</v>
      </c>
      <c r="DH31" s="94">
        <f>+BP31</f>
        <v>-2182000</v>
      </c>
      <c r="DJ31" s="94">
        <f>+BR31</f>
        <v>-4888000</v>
      </c>
      <c r="DK31" s="94">
        <f>SUM($BR31:BS31)</f>
        <v>-7529000</v>
      </c>
      <c r="DL31" s="94">
        <f>SUM($BR31:BT31)</f>
        <v>-10302000</v>
      </c>
      <c r="DM31" s="94">
        <f>SUM($BR31:BU31)</f>
        <v>-11711000</v>
      </c>
      <c r="DN31" s="94">
        <f>+BV31</f>
        <v>-11711000</v>
      </c>
      <c r="DP31" s="94">
        <f>+BX31</f>
        <v>-712000</v>
      </c>
      <c r="DQ31" s="94">
        <f>SUM($BX31:BY31)</f>
        <v>-2035000</v>
      </c>
      <c r="DR31" s="94">
        <f>SUM($BX31:BZ31)</f>
        <v>-3973000</v>
      </c>
      <c r="DS31" s="94">
        <f>SUM($BX31:CA31)</f>
        <v>-7320000</v>
      </c>
      <c r="DT31" s="94">
        <f>+CB31</f>
        <v>-7320000</v>
      </c>
    </row>
    <row r="32" spans="1:124" ht="16.649999999999999" customHeight="1" x14ac:dyDescent="0.25">
      <c r="A32" s="130" t="s">
        <v>356</v>
      </c>
      <c r="B32" s="130" t="s">
        <v>356</v>
      </c>
      <c r="D32" s="83">
        <f t="shared" si="43"/>
        <v>0</v>
      </c>
      <c r="F32" s="83">
        <f t="shared" si="44"/>
        <v>0</v>
      </c>
      <c r="H32" s="83">
        <f t="shared" si="45"/>
        <v>0</v>
      </c>
      <c r="J32" s="83">
        <f t="shared" si="46"/>
        <v>0</v>
      </c>
      <c r="L32" s="83">
        <f t="shared" si="47"/>
        <v>0</v>
      </c>
      <c r="N32" s="83">
        <f t="shared" si="48"/>
        <v>0</v>
      </c>
      <c r="P32" s="198">
        <f t="shared" si="49"/>
        <v>0</v>
      </c>
      <c r="R32" s="198">
        <f t="shared" si="50"/>
        <v>0</v>
      </c>
      <c r="Z32" s="198">
        <f t="shared" si="0"/>
        <v>0</v>
      </c>
      <c r="AB32" s="198">
        <f t="shared" si="1"/>
        <v>0</v>
      </c>
      <c r="AJ32" s="253">
        <f t="shared" si="5"/>
        <v>26</v>
      </c>
      <c r="AL32" s="276"/>
      <c r="AR32" s="94">
        <f t="shared" si="51"/>
        <v>0</v>
      </c>
      <c r="AX32" s="94">
        <f t="shared" si="52"/>
        <v>0</v>
      </c>
      <c r="BD32" s="94">
        <f t="shared" si="53"/>
        <v>0</v>
      </c>
      <c r="BJ32" s="94">
        <f t="shared" si="54"/>
        <v>0</v>
      </c>
      <c r="BL32" s="94">
        <v>0</v>
      </c>
      <c r="BM32" s="94">
        <v>0</v>
      </c>
      <c r="BN32" s="94">
        <v>0</v>
      </c>
      <c r="BO32" s="94">
        <v>0</v>
      </c>
      <c r="BP32" s="94">
        <f>SUM(BL32:BO32)</f>
        <v>0</v>
      </c>
      <c r="BR32" s="94">
        <v>0</v>
      </c>
      <c r="BS32" s="94">
        <v>517000</v>
      </c>
      <c r="BU32" s="94">
        <v>356000</v>
      </c>
      <c r="BV32" s="94">
        <f>SUM(BR32:BU32)</f>
        <v>873000</v>
      </c>
      <c r="BX32" s="94">
        <v>0</v>
      </c>
      <c r="BY32" s="94">
        <v>0</v>
      </c>
      <c r="CB32" s="94">
        <f>SUM(BX32:CA32)</f>
        <v>0</v>
      </c>
      <c r="CD32" s="167"/>
      <c r="CF32" s="94">
        <f t="shared" si="55"/>
        <v>0</v>
      </c>
      <c r="CG32" s="94">
        <f>SUM($AN32:AO32)</f>
        <v>0</v>
      </c>
      <c r="CH32" s="94">
        <f>SUM($AN32:AP32)</f>
        <v>0</v>
      </c>
      <c r="CI32" s="94">
        <f>SUM($AN32:AQ32)</f>
        <v>0</v>
      </c>
      <c r="CJ32" s="94">
        <f t="shared" si="56"/>
        <v>0</v>
      </c>
      <c r="CL32" s="94">
        <f t="shared" si="57"/>
        <v>0</v>
      </c>
      <c r="CM32" s="94">
        <f>SUM($AT32:AU32)</f>
        <v>0</v>
      </c>
      <c r="CN32" s="94">
        <f>SUM($AT32:AV32)</f>
        <v>0</v>
      </c>
      <c r="CO32" s="94">
        <f>SUM($AT32:AW32)</f>
        <v>0</v>
      </c>
      <c r="CP32" s="94">
        <f t="shared" si="58"/>
        <v>0</v>
      </c>
      <c r="CR32" s="94">
        <f t="shared" si="59"/>
        <v>0</v>
      </c>
      <c r="CS32" s="94">
        <f>SUM($AZ32:BA32)</f>
        <v>0</v>
      </c>
      <c r="CT32" s="94">
        <f>SUM($AZ32:BB32)</f>
        <v>0</v>
      </c>
      <c r="CU32" s="94">
        <f>SUM($AZ32:BC32)</f>
        <v>0</v>
      </c>
      <c r="CV32" s="94">
        <f t="shared" si="60"/>
        <v>0</v>
      </c>
      <c r="CX32" s="94">
        <f t="shared" si="61"/>
        <v>0</v>
      </c>
      <c r="CY32" s="94">
        <f>SUM($BF32:BG32)</f>
        <v>0</v>
      </c>
      <c r="CZ32" s="94">
        <f>SUM($BF32:BH32)</f>
        <v>0</v>
      </c>
      <c r="DA32" s="94">
        <f>SUM($BF32:BI32)</f>
        <v>0</v>
      </c>
      <c r="DB32" s="94">
        <f t="shared" si="62"/>
        <v>0</v>
      </c>
      <c r="DD32" s="94">
        <f>+BL32</f>
        <v>0</v>
      </c>
      <c r="DE32" s="94">
        <f>SUM($BL32:BM32)</f>
        <v>0</v>
      </c>
      <c r="DF32" s="94">
        <f>SUM($BL32:BN32)</f>
        <v>0</v>
      </c>
      <c r="DG32" s="94">
        <f>SUM($BL32:BO32)</f>
        <v>0</v>
      </c>
      <c r="DH32" s="94">
        <f>+BP32</f>
        <v>0</v>
      </c>
      <c r="DJ32" s="94">
        <f>+BR32</f>
        <v>0</v>
      </c>
      <c r="DK32" s="94">
        <f>SUM($BR32:BS32)</f>
        <v>517000</v>
      </c>
      <c r="DL32" s="94">
        <f>SUM($BR32:BT32)</f>
        <v>517000</v>
      </c>
      <c r="DM32" s="94">
        <f>SUM($BR32:BU32)</f>
        <v>873000</v>
      </c>
      <c r="DN32" s="94">
        <f>+BV32</f>
        <v>873000</v>
      </c>
      <c r="DP32" s="94">
        <f>+BX32</f>
        <v>0</v>
      </c>
      <c r="DQ32" s="94">
        <f>SUM($BX32:BY32)</f>
        <v>0</v>
      </c>
      <c r="DR32" s="94">
        <f>SUM($BX32:BZ32)</f>
        <v>0</v>
      </c>
      <c r="DS32" s="94">
        <f>SUM($BX32:CA32)</f>
        <v>0</v>
      </c>
      <c r="DT32" s="94">
        <f>+CB32</f>
        <v>0</v>
      </c>
    </row>
    <row r="33" spans="1:124" ht="27.5" customHeight="1" x14ac:dyDescent="0.25">
      <c r="A33" s="130" t="s">
        <v>357</v>
      </c>
      <c r="B33" s="130" t="s">
        <v>357</v>
      </c>
      <c r="D33" s="83">
        <f t="shared" si="43"/>
        <v>-1951000</v>
      </c>
      <c r="F33" s="83">
        <f t="shared" si="44"/>
        <v>0</v>
      </c>
      <c r="H33" s="83">
        <f t="shared" si="45"/>
        <v>0</v>
      </c>
      <c r="J33" s="83">
        <f t="shared" si="46"/>
        <v>-1951000</v>
      </c>
      <c r="L33" s="83">
        <f t="shared" si="47"/>
        <v>0</v>
      </c>
      <c r="N33" s="83">
        <f t="shared" si="48"/>
        <v>0</v>
      </c>
      <c r="P33" s="198">
        <f t="shared" si="49"/>
        <v>-1951000</v>
      </c>
      <c r="R33" s="198">
        <f t="shared" si="50"/>
        <v>0</v>
      </c>
      <c r="Z33" s="198">
        <f t="shared" si="0"/>
        <v>-1951000</v>
      </c>
      <c r="AB33" s="198">
        <f t="shared" si="1"/>
        <v>0</v>
      </c>
      <c r="AJ33" s="253">
        <f t="shared" si="5"/>
        <v>27</v>
      </c>
      <c r="AL33" s="240"/>
      <c r="AP33" s="94">
        <v>-1951000</v>
      </c>
      <c r="AR33" s="94">
        <f t="shared" si="51"/>
        <v>-1951000</v>
      </c>
      <c r="AW33" s="94">
        <v>-170281000</v>
      </c>
      <c r="AX33" s="94">
        <f t="shared" si="52"/>
        <v>-170281000</v>
      </c>
      <c r="BD33" s="94">
        <f t="shared" si="53"/>
        <v>0</v>
      </c>
      <c r="BF33" s="94">
        <v>-8368000</v>
      </c>
      <c r="BH33" s="94">
        <v>-2008000</v>
      </c>
      <c r="BI33" s="94">
        <v>-8731000</v>
      </c>
      <c r="BJ33" s="94">
        <f t="shared" si="54"/>
        <v>-19107000</v>
      </c>
      <c r="BL33" s="94">
        <v>0</v>
      </c>
      <c r="BM33" s="94">
        <v>-2933000</v>
      </c>
      <c r="BN33" s="94">
        <v>-14815000</v>
      </c>
      <c r="BO33" s="94">
        <v>-58264000</v>
      </c>
      <c r="BP33" s="94">
        <f>SUM(BL33:BO33)</f>
        <v>-76012000</v>
      </c>
      <c r="BR33" s="94">
        <v>-4479000</v>
      </c>
      <c r="BS33" s="94">
        <v>-100886000</v>
      </c>
      <c r="BV33" s="94">
        <f>SUM(BR33:BU33)</f>
        <v>-105365000</v>
      </c>
      <c r="BX33" s="94">
        <v>0</v>
      </c>
      <c r="BY33" s="94">
        <v>0</v>
      </c>
      <c r="CB33" s="94">
        <f>SUM(BX33:CA33)</f>
        <v>0</v>
      </c>
      <c r="CD33" s="167"/>
      <c r="CF33" s="94">
        <f t="shared" si="55"/>
        <v>0</v>
      </c>
      <c r="CG33" s="94">
        <f>SUM($AN33:AO33)</f>
        <v>0</v>
      </c>
      <c r="CH33" s="94">
        <f>SUM($AN33:AP33)</f>
        <v>-1951000</v>
      </c>
      <c r="CI33" s="94">
        <f>SUM($AN33:AQ33)</f>
        <v>-1951000</v>
      </c>
      <c r="CJ33" s="94">
        <f t="shared" si="56"/>
        <v>-1951000</v>
      </c>
      <c r="CL33" s="94">
        <f t="shared" si="57"/>
        <v>0</v>
      </c>
      <c r="CM33" s="94">
        <f>SUM($AT33:AU33)</f>
        <v>0</v>
      </c>
      <c r="CN33" s="94">
        <f>SUM($AT33:AV33)</f>
        <v>0</v>
      </c>
      <c r="CO33" s="94">
        <f>SUM($AT33:AW33)</f>
        <v>-170281000</v>
      </c>
      <c r="CP33" s="94">
        <f t="shared" si="58"/>
        <v>-170281000</v>
      </c>
      <c r="CR33" s="94">
        <f t="shared" si="59"/>
        <v>0</v>
      </c>
      <c r="CS33" s="94">
        <f>SUM($AZ33:BA33)</f>
        <v>0</v>
      </c>
      <c r="CT33" s="94">
        <f>SUM($AZ33:BB33)</f>
        <v>0</v>
      </c>
      <c r="CU33" s="94">
        <f>SUM($AZ33:BC33)</f>
        <v>0</v>
      </c>
      <c r="CV33" s="94">
        <f t="shared" si="60"/>
        <v>0</v>
      </c>
      <c r="CX33" s="94">
        <f t="shared" si="61"/>
        <v>-8368000</v>
      </c>
      <c r="CY33" s="94">
        <f>SUM($BF33:BG33)</f>
        <v>-8368000</v>
      </c>
      <c r="CZ33" s="94">
        <f>SUM($BF33:BH33)</f>
        <v>-10376000</v>
      </c>
      <c r="DA33" s="94">
        <f>SUM($BF33:BI33)</f>
        <v>-19107000</v>
      </c>
      <c r="DB33" s="94">
        <f t="shared" si="62"/>
        <v>-19107000</v>
      </c>
      <c r="DD33" s="94">
        <f>+BL33</f>
        <v>0</v>
      </c>
      <c r="DE33" s="94">
        <f>SUM($BL33:BM33)</f>
        <v>-2933000</v>
      </c>
      <c r="DF33" s="94">
        <f>SUM($BL33:BN33)</f>
        <v>-17748000</v>
      </c>
      <c r="DG33" s="94">
        <f>SUM($BL33:BO33)</f>
        <v>-76012000</v>
      </c>
      <c r="DH33" s="94">
        <f>+BP33</f>
        <v>-76012000</v>
      </c>
      <c r="DJ33" s="94">
        <f>+BR33</f>
        <v>-4479000</v>
      </c>
      <c r="DK33" s="94">
        <f>SUM($BR33:BS33)</f>
        <v>-105365000</v>
      </c>
      <c r="DL33" s="94">
        <f>SUM($BR33:BT33)</f>
        <v>-105365000</v>
      </c>
      <c r="DM33" s="94">
        <f>SUM($BR33:BU33)</f>
        <v>-105365000</v>
      </c>
      <c r="DN33" s="94">
        <f>+BV33</f>
        <v>-105365000</v>
      </c>
      <c r="DP33" s="94">
        <f>+BX33</f>
        <v>0</v>
      </c>
      <c r="DQ33" s="94">
        <f>SUM($BX33:BY33)</f>
        <v>0</v>
      </c>
      <c r="DR33" s="94">
        <f>SUM($BX33:BZ33)</f>
        <v>0</v>
      </c>
      <c r="DS33" s="94">
        <f>SUM($BX33:CA33)</f>
        <v>0</v>
      </c>
      <c r="DT33" s="94">
        <f>+CB33</f>
        <v>0</v>
      </c>
    </row>
    <row r="34" spans="1:124" ht="27.5" customHeight="1" x14ac:dyDescent="0.25">
      <c r="A34" s="130" t="s">
        <v>358</v>
      </c>
      <c r="B34" s="130" t="s">
        <v>358</v>
      </c>
      <c r="D34" s="83">
        <f t="shared" si="43"/>
        <v>0</v>
      </c>
      <c r="F34" s="83">
        <f t="shared" si="44"/>
        <v>0</v>
      </c>
      <c r="H34" s="83">
        <f t="shared" si="45"/>
        <v>0</v>
      </c>
      <c r="J34" s="83">
        <f t="shared" si="46"/>
        <v>0</v>
      </c>
      <c r="L34" s="83">
        <f t="shared" si="47"/>
        <v>0</v>
      </c>
      <c r="N34" s="83">
        <f t="shared" si="48"/>
        <v>0</v>
      </c>
      <c r="P34" s="198">
        <f t="shared" si="49"/>
        <v>0</v>
      </c>
      <c r="R34" s="198">
        <f t="shared" si="50"/>
        <v>0</v>
      </c>
      <c r="Z34" s="198">
        <f t="shared" si="0"/>
        <v>0</v>
      </c>
      <c r="AB34" s="198">
        <f t="shared" si="1"/>
        <v>0</v>
      </c>
      <c r="AJ34" s="253">
        <f t="shared" si="5"/>
        <v>28</v>
      </c>
      <c r="AL34" s="276"/>
      <c r="AR34" s="94">
        <f t="shared" si="51"/>
        <v>0</v>
      </c>
      <c r="AX34" s="94">
        <f t="shared" si="52"/>
        <v>0</v>
      </c>
      <c r="BD34" s="94">
        <f t="shared" si="53"/>
        <v>0</v>
      </c>
      <c r="BF34" s="94">
        <v>31000000</v>
      </c>
      <c r="BH34" s="94">
        <v>184000</v>
      </c>
      <c r="BI34" s="94">
        <v>0</v>
      </c>
      <c r="BJ34" s="94">
        <f t="shared" si="54"/>
        <v>31184000</v>
      </c>
      <c r="CD34" s="167"/>
      <c r="CF34" s="94">
        <f t="shared" si="55"/>
        <v>0</v>
      </c>
      <c r="CG34" s="94">
        <f>SUM($AN34:AO34)</f>
        <v>0</v>
      </c>
      <c r="CH34" s="94">
        <f>SUM($AN34:AP34)</f>
        <v>0</v>
      </c>
      <c r="CI34" s="94">
        <f>SUM($AN34:AQ34)</f>
        <v>0</v>
      </c>
      <c r="CJ34" s="94">
        <f t="shared" si="56"/>
        <v>0</v>
      </c>
      <c r="CL34" s="94">
        <f t="shared" si="57"/>
        <v>0</v>
      </c>
      <c r="CM34" s="94">
        <f>SUM($AT34:AU34)</f>
        <v>0</v>
      </c>
      <c r="CN34" s="94">
        <f>SUM($AT34:AV34)</f>
        <v>0</v>
      </c>
      <c r="CO34" s="94">
        <f>SUM($AT34:AW34)</f>
        <v>0</v>
      </c>
      <c r="CP34" s="94">
        <f t="shared" si="58"/>
        <v>0</v>
      </c>
      <c r="CR34" s="94">
        <f t="shared" si="59"/>
        <v>0</v>
      </c>
      <c r="CS34" s="94">
        <f>SUM($AZ34:BA34)</f>
        <v>0</v>
      </c>
      <c r="CT34" s="94">
        <f>SUM($AZ34:BB34)</f>
        <v>0</v>
      </c>
      <c r="CU34" s="94">
        <f>SUM($AZ34:BC34)</f>
        <v>0</v>
      </c>
      <c r="CV34" s="94">
        <f t="shared" si="60"/>
        <v>0</v>
      </c>
      <c r="CX34" s="94">
        <f t="shared" si="61"/>
        <v>31000000</v>
      </c>
      <c r="CY34" s="94">
        <f>SUM($BF34:BG34)</f>
        <v>31000000</v>
      </c>
      <c r="CZ34" s="94">
        <f>SUM($BF34:BH34)</f>
        <v>31184000</v>
      </c>
      <c r="DA34" s="94">
        <f>SUM($BF34:BI34)</f>
        <v>31184000</v>
      </c>
      <c r="DB34" s="94">
        <f t="shared" si="62"/>
        <v>31184000</v>
      </c>
    </row>
    <row r="35" spans="1:124" ht="16.649999999999999" customHeight="1" x14ac:dyDescent="0.25">
      <c r="A35" s="130" t="s">
        <v>359</v>
      </c>
      <c r="B35" s="130" t="s">
        <v>359</v>
      </c>
      <c r="D35" s="83">
        <f t="shared" si="43"/>
        <v>0</v>
      </c>
      <c r="F35" s="83">
        <f t="shared" si="44"/>
        <v>0</v>
      </c>
      <c r="H35" s="83">
        <f t="shared" si="45"/>
        <v>-3000000</v>
      </c>
      <c r="J35" s="83">
        <f t="shared" si="46"/>
        <v>-1967000</v>
      </c>
      <c r="L35" s="83">
        <f t="shared" si="47"/>
        <v>-24385000</v>
      </c>
      <c r="N35" s="83">
        <f t="shared" si="48"/>
        <v>-3000000</v>
      </c>
      <c r="P35" s="198">
        <f t="shared" si="49"/>
        <v>0</v>
      </c>
      <c r="R35" s="198">
        <f t="shared" si="50"/>
        <v>3000000</v>
      </c>
      <c r="Z35" s="198">
        <f t="shared" si="0"/>
        <v>22418000</v>
      </c>
      <c r="AB35" s="198">
        <f t="shared" si="1"/>
        <v>-21385000</v>
      </c>
      <c r="AJ35" s="253">
        <f t="shared" si="5"/>
        <v>29</v>
      </c>
      <c r="AL35" s="276"/>
      <c r="AN35" s="94">
        <v>-1967000</v>
      </c>
      <c r="AR35" s="94">
        <f t="shared" si="51"/>
        <v>-1967000</v>
      </c>
      <c r="AU35" s="94">
        <v>-24385000</v>
      </c>
      <c r="AW35" s="94">
        <v>-24509000</v>
      </c>
      <c r="AX35" s="94">
        <f t="shared" si="52"/>
        <v>-48894000</v>
      </c>
      <c r="BB35" s="94">
        <v>-3000000</v>
      </c>
      <c r="BC35" s="94">
        <v>-25197000</v>
      </c>
      <c r="BD35" s="94">
        <f t="shared" si="53"/>
        <v>-28197000</v>
      </c>
      <c r="BJ35" s="94">
        <f t="shared" si="54"/>
        <v>0</v>
      </c>
      <c r="BN35" s="94">
        <v>-3000000</v>
      </c>
      <c r="BO35" s="94">
        <v>-4500000</v>
      </c>
      <c r="BP35" s="94">
        <f>SUM(BL35:BO35)</f>
        <v>-7500000</v>
      </c>
      <c r="CD35" s="167"/>
      <c r="CF35" s="94">
        <f t="shared" si="55"/>
        <v>-1967000</v>
      </c>
      <c r="CG35" s="94">
        <f>SUM($AN35:AO35)</f>
        <v>-1967000</v>
      </c>
      <c r="CH35" s="94">
        <f>SUM($AN35:AP35)</f>
        <v>-1967000</v>
      </c>
      <c r="CI35" s="94">
        <f>SUM($AN35:AQ35)</f>
        <v>-1967000</v>
      </c>
      <c r="CJ35" s="94">
        <f t="shared" si="56"/>
        <v>-1967000</v>
      </c>
      <c r="CL35" s="94">
        <f t="shared" si="57"/>
        <v>0</v>
      </c>
      <c r="CM35" s="94">
        <f>SUM($AT35:AU35)</f>
        <v>-24385000</v>
      </c>
      <c r="CN35" s="94">
        <f>SUM($AT35:AV35)</f>
        <v>-24385000</v>
      </c>
      <c r="CO35" s="94">
        <f>SUM($AT35:AW35)</f>
        <v>-48894000</v>
      </c>
      <c r="CP35" s="94">
        <f t="shared" si="58"/>
        <v>-48894000</v>
      </c>
      <c r="CR35" s="94">
        <f t="shared" si="59"/>
        <v>0</v>
      </c>
      <c r="CS35" s="94">
        <f>SUM($AZ35:BA35)</f>
        <v>0</v>
      </c>
      <c r="CT35" s="94">
        <f>SUM($AZ35:BB35)</f>
        <v>-3000000</v>
      </c>
      <c r="CU35" s="94">
        <f>SUM($AZ35:BC35)</f>
        <v>-28197000</v>
      </c>
      <c r="CV35" s="94">
        <f t="shared" si="60"/>
        <v>-28197000</v>
      </c>
      <c r="CX35" s="94">
        <f t="shared" si="61"/>
        <v>0</v>
      </c>
      <c r="CY35" s="94">
        <f>SUM($BF35:BG35)</f>
        <v>0</v>
      </c>
      <c r="CZ35" s="94">
        <f>SUM($BF35:BH35)</f>
        <v>0</v>
      </c>
      <c r="DA35" s="94">
        <f>SUM($BF35:BI35)</f>
        <v>0</v>
      </c>
      <c r="DB35" s="94">
        <f t="shared" si="62"/>
        <v>0</v>
      </c>
      <c r="DD35" s="94">
        <f>+BL35</f>
        <v>0</v>
      </c>
      <c r="DE35" s="94">
        <f>SUM($BL35:BM35)</f>
        <v>0</v>
      </c>
      <c r="DF35" s="94">
        <f>SUM($BL35:BN35)</f>
        <v>-3000000</v>
      </c>
      <c r="DG35" s="94">
        <f>SUM($BL35:BO35)</f>
        <v>-7500000</v>
      </c>
      <c r="DH35" s="94">
        <f>+BP35</f>
        <v>-7500000</v>
      </c>
      <c r="DJ35" s="94">
        <f>+BR35</f>
        <v>0</v>
      </c>
      <c r="DK35" s="94">
        <f>SUM($BR35:BS35)</f>
        <v>0</v>
      </c>
      <c r="DL35" s="94">
        <f>SUM($BR35:BT35)</f>
        <v>0</v>
      </c>
      <c r="DM35" s="94">
        <f>SUM($BR35:BU35)</f>
        <v>0</v>
      </c>
      <c r="DN35" s="94">
        <f>+BV35</f>
        <v>0</v>
      </c>
    </row>
    <row r="36" spans="1:124" ht="23.25" customHeight="1" x14ac:dyDescent="0.25">
      <c r="A36" s="130" t="s">
        <v>360</v>
      </c>
      <c r="B36" s="130" t="s">
        <v>360</v>
      </c>
      <c r="D36" s="83">
        <f t="shared" si="43"/>
        <v>1994000</v>
      </c>
      <c r="F36" s="83">
        <f t="shared" si="44"/>
        <v>0</v>
      </c>
      <c r="H36" s="83">
        <f t="shared" si="45"/>
        <v>3000000</v>
      </c>
      <c r="J36" s="83">
        <f t="shared" si="46"/>
        <v>26989000</v>
      </c>
      <c r="L36" s="83">
        <f t="shared" si="47"/>
        <v>25750000</v>
      </c>
      <c r="N36" s="83">
        <f t="shared" si="48"/>
        <v>3000000</v>
      </c>
      <c r="P36" s="198">
        <f t="shared" si="49"/>
        <v>1994000</v>
      </c>
      <c r="R36" s="198">
        <f t="shared" si="50"/>
        <v>-3000000</v>
      </c>
      <c r="Z36" s="198">
        <f t="shared" si="0"/>
        <v>1239000</v>
      </c>
      <c r="AB36" s="198">
        <f t="shared" si="1"/>
        <v>22750000</v>
      </c>
      <c r="AJ36" s="253">
        <f t="shared" si="5"/>
        <v>30</v>
      </c>
      <c r="AL36" s="276"/>
      <c r="AN36" s="94">
        <v>2000000</v>
      </c>
      <c r="AO36" s="94">
        <v>22995000</v>
      </c>
      <c r="AP36" s="94">
        <v>1994000</v>
      </c>
      <c r="AR36" s="94">
        <f t="shared" si="51"/>
        <v>26989000</v>
      </c>
      <c r="AU36" s="94">
        <v>25750000</v>
      </c>
      <c r="AW36" s="94">
        <v>25000000</v>
      </c>
      <c r="AX36" s="94">
        <f t="shared" si="52"/>
        <v>50750000</v>
      </c>
      <c r="BB36" s="94">
        <v>3000000</v>
      </c>
      <c r="BD36" s="94">
        <f t="shared" si="53"/>
        <v>3000000</v>
      </c>
      <c r="CD36" s="167"/>
      <c r="CF36" s="94">
        <f t="shared" si="55"/>
        <v>2000000</v>
      </c>
      <c r="CG36" s="94">
        <f>SUM($AN36:AO36)</f>
        <v>24995000</v>
      </c>
      <c r="CH36" s="94">
        <f>SUM($AN36:AP36)</f>
        <v>26989000</v>
      </c>
      <c r="CI36" s="94">
        <f>SUM($AN36:AQ36)</f>
        <v>26989000</v>
      </c>
      <c r="CJ36" s="94">
        <f t="shared" si="56"/>
        <v>26989000</v>
      </c>
      <c r="CL36" s="94">
        <f t="shared" si="57"/>
        <v>0</v>
      </c>
      <c r="CM36" s="94">
        <f>SUM($AT36:AU36)</f>
        <v>25750000</v>
      </c>
      <c r="CN36" s="94">
        <f>SUM($AT36:AV36)</f>
        <v>25750000</v>
      </c>
      <c r="CO36" s="94">
        <f>SUM($AT36:AW36)</f>
        <v>50750000</v>
      </c>
      <c r="CP36" s="94">
        <f t="shared" si="58"/>
        <v>50750000</v>
      </c>
      <c r="CR36" s="94">
        <f t="shared" si="59"/>
        <v>0</v>
      </c>
      <c r="CS36" s="94">
        <f>SUM($AZ36:BA36)</f>
        <v>0</v>
      </c>
      <c r="CT36" s="94">
        <f>SUM($AZ36:BB36)</f>
        <v>3000000</v>
      </c>
      <c r="CU36" s="94">
        <f>SUM($AZ36:BC36)</f>
        <v>3000000</v>
      </c>
      <c r="CV36" s="94">
        <f t="shared" si="60"/>
        <v>3000000</v>
      </c>
      <c r="CX36" s="94">
        <f t="shared" si="61"/>
        <v>0</v>
      </c>
      <c r="CY36" s="94">
        <f>SUM($BF36:BG36)</f>
        <v>0</v>
      </c>
      <c r="CZ36" s="94">
        <f>SUM($BF36:BH36)</f>
        <v>0</v>
      </c>
      <c r="DA36" s="94">
        <f>SUM($BF36:BI36)</f>
        <v>0</v>
      </c>
      <c r="DB36" s="94">
        <f t="shared" si="62"/>
        <v>0</v>
      </c>
    </row>
    <row r="37" spans="1:124" ht="23.25" customHeight="1" x14ac:dyDescent="0.25">
      <c r="A37" s="130" t="s">
        <v>361</v>
      </c>
      <c r="B37" s="130" t="s">
        <v>361</v>
      </c>
      <c r="D37" s="83">
        <f t="shared" si="43"/>
        <v>0</v>
      </c>
      <c r="F37" s="83">
        <f t="shared" si="44"/>
        <v>0</v>
      </c>
      <c r="H37" s="83">
        <f t="shared" si="45"/>
        <v>0</v>
      </c>
      <c r="J37" s="83">
        <f t="shared" si="46"/>
        <v>0</v>
      </c>
      <c r="L37" s="83">
        <f t="shared" si="47"/>
        <v>0</v>
      </c>
      <c r="N37" s="83">
        <f t="shared" si="48"/>
        <v>400000</v>
      </c>
      <c r="P37" s="198">
        <f t="shared" si="49"/>
        <v>0</v>
      </c>
      <c r="R37" s="198">
        <f t="shared" si="50"/>
        <v>0</v>
      </c>
      <c r="Z37" s="198">
        <f t="shared" si="0"/>
        <v>0</v>
      </c>
      <c r="AB37" s="198">
        <f t="shared" si="1"/>
        <v>-400000</v>
      </c>
      <c r="AJ37" s="253">
        <f t="shared" si="5"/>
        <v>31</v>
      </c>
      <c r="AL37" s="276"/>
      <c r="AR37" s="94">
        <f t="shared" si="51"/>
        <v>0</v>
      </c>
      <c r="AX37" s="94">
        <f t="shared" si="52"/>
        <v>0</v>
      </c>
      <c r="BA37" s="94">
        <v>400000</v>
      </c>
      <c r="BC37" s="94">
        <v>994000</v>
      </c>
      <c r="BD37" s="94">
        <f t="shared" si="53"/>
        <v>1394000</v>
      </c>
      <c r="CD37" s="167"/>
      <c r="CF37" s="94">
        <f t="shared" si="55"/>
        <v>0</v>
      </c>
      <c r="CG37" s="94">
        <f>SUM($AN37:AO37)</f>
        <v>0</v>
      </c>
      <c r="CH37" s="94">
        <f>SUM($AN37:AP37)</f>
        <v>0</v>
      </c>
      <c r="CI37" s="94">
        <f>SUM($AN37:AQ37)</f>
        <v>0</v>
      </c>
      <c r="CJ37" s="94">
        <f t="shared" si="56"/>
        <v>0</v>
      </c>
      <c r="CL37" s="94">
        <f t="shared" si="57"/>
        <v>0</v>
      </c>
      <c r="CM37" s="94">
        <f>SUM($AT37:AU37)</f>
        <v>0</v>
      </c>
      <c r="CN37" s="94">
        <f>SUM($AT37:AV37)</f>
        <v>0</v>
      </c>
      <c r="CO37" s="94">
        <f>SUM($AT37:AW37)</f>
        <v>0</v>
      </c>
      <c r="CP37" s="94">
        <f t="shared" si="58"/>
        <v>0</v>
      </c>
      <c r="CR37" s="94">
        <f t="shared" si="59"/>
        <v>0</v>
      </c>
      <c r="CS37" s="94">
        <f>SUM($AZ37:BA37)</f>
        <v>400000</v>
      </c>
      <c r="CT37" s="94">
        <f>SUM($AZ37:BB37)</f>
        <v>400000</v>
      </c>
      <c r="CU37" s="94">
        <f>SUM($AZ37:BC37)</f>
        <v>1394000</v>
      </c>
      <c r="CV37" s="94">
        <f t="shared" si="60"/>
        <v>1394000</v>
      </c>
      <c r="CX37" s="94">
        <f t="shared" si="61"/>
        <v>0</v>
      </c>
      <c r="CY37" s="94">
        <f>SUM($BF37:BG37)</f>
        <v>0</v>
      </c>
      <c r="CZ37" s="94">
        <f>SUM($BF37:BH37)</f>
        <v>0</v>
      </c>
      <c r="DA37" s="94">
        <f>SUM($BF37:BI37)</f>
        <v>0</v>
      </c>
      <c r="DB37" s="94">
        <f t="shared" si="62"/>
        <v>0</v>
      </c>
    </row>
    <row r="38" spans="1:124" ht="16.649999999999999" customHeight="1" x14ac:dyDescent="0.25">
      <c r="A38" s="130" t="s">
        <v>362</v>
      </c>
      <c r="B38" s="130" t="s">
        <v>362</v>
      </c>
      <c r="D38" s="255">
        <f t="shared" si="43"/>
        <v>-1000000</v>
      </c>
      <c r="F38" s="255">
        <f t="shared" si="44"/>
        <v>0</v>
      </c>
      <c r="H38" s="255">
        <f t="shared" si="45"/>
        <v>-500000</v>
      </c>
      <c r="J38" s="255">
        <f t="shared" si="46"/>
        <v>-1400000</v>
      </c>
      <c r="L38" s="255">
        <f t="shared" si="47"/>
        <v>-1000000</v>
      </c>
      <c r="N38" s="255">
        <f t="shared" si="48"/>
        <v>-500000</v>
      </c>
      <c r="P38" s="198">
        <f t="shared" si="49"/>
        <v>-1000000</v>
      </c>
      <c r="R38" s="198">
        <f t="shared" si="50"/>
        <v>500000</v>
      </c>
      <c r="Z38" s="198">
        <f t="shared" si="0"/>
        <v>-400000</v>
      </c>
      <c r="AB38" s="198">
        <f t="shared" si="1"/>
        <v>-500000</v>
      </c>
      <c r="AJ38" s="253">
        <f t="shared" si="5"/>
        <v>32</v>
      </c>
      <c r="AL38" s="276"/>
      <c r="AN38" s="157">
        <v>-400000</v>
      </c>
      <c r="AP38" s="157">
        <v>-1000000</v>
      </c>
      <c r="AR38" s="157">
        <f t="shared" si="51"/>
        <v>-1400000</v>
      </c>
      <c r="AT38" s="157">
        <v>-500000</v>
      </c>
      <c r="AU38" s="157">
        <v>-500000</v>
      </c>
      <c r="AX38" s="157">
        <f t="shared" si="52"/>
        <v>-1000000</v>
      </c>
      <c r="BB38" s="157">
        <v>-500000</v>
      </c>
      <c r="BD38" s="157">
        <f t="shared" si="53"/>
        <v>-500000</v>
      </c>
      <c r="BJ38" s="157">
        <f>SUM(BF38:BI38)</f>
        <v>0</v>
      </c>
      <c r="BL38" s="157">
        <v>-667000</v>
      </c>
      <c r="BM38" s="157">
        <v>-1206000</v>
      </c>
      <c r="BN38" s="157">
        <v>-327000</v>
      </c>
      <c r="BO38" s="157">
        <v>0</v>
      </c>
      <c r="BP38" s="157">
        <f>SUM(BL38:BO38)</f>
        <v>-2200000</v>
      </c>
      <c r="BR38" s="157">
        <v>0</v>
      </c>
      <c r="BS38" s="157">
        <v>0</v>
      </c>
      <c r="BV38" s="157">
        <f>SUM(BR38:BU38)</f>
        <v>0</v>
      </c>
      <c r="BX38" s="157">
        <v>-2500000</v>
      </c>
      <c r="BY38" s="157">
        <v>0</v>
      </c>
      <c r="CB38" s="157">
        <f>SUM(BX38:CA38)</f>
        <v>-2500000</v>
      </c>
      <c r="CD38" s="167"/>
      <c r="CF38" s="157">
        <f t="shared" si="55"/>
        <v>-400000</v>
      </c>
      <c r="CG38" s="157">
        <f>SUM($AN38:AO38)</f>
        <v>-400000</v>
      </c>
      <c r="CH38" s="157">
        <f>SUM($AN38:AP38)</f>
        <v>-1400000</v>
      </c>
      <c r="CI38" s="157">
        <f>SUM($AN38:AQ38)</f>
        <v>-1400000</v>
      </c>
      <c r="CJ38" s="157">
        <f t="shared" si="56"/>
        <v>-1400000</v>
      </c>
      <c r="CL38" s="157">
        <f t="shared" si="57"/>
        <v>-500000</v>
      </c>
      <c r="CM38" s="157">
        <f>SUM($AT38:AU38)</f>
        <v>-1000000</v>
      </c>
      <c r="CN38" s="157">
        <f>SUM($AT38:AV38)</f>
        <v>-1000000</v>
      </c>
      <c r="CO38" s="157">
        <f>SUM($AT38:AW38)</f>
        <v>-1000000</v>
      </c>
      <c r="CP38" s="157">
        <f t="shared" si="58"/>
        <v>-1000000</v>
      </c>
      <c r="CR38" s="94">
        <f t="shared" si="59"/>
        <v>0</v>
      </c>
      <c r="CS38" s="94">
        <f>SUM($AZ38:BA38)</f>
        <v>0</v>
      </c>
      <c r="CT38" s="94">
        <f>SUM($AZ38:BB38)</f>
        <v>-500000</v>
      </c>
      <c r="CU38" s="94">
        <f>SUM($AZ38:BC38)</f>
        <v>-500000</v>
      </c>
      <c r="CV38" s="94">
        <f t="shared" si="60"/>
        <v>-500000</v>
      </c>
      <c r="CX38" s="157">
        <f t="shared" si="61"/>
        <v>0</v>
      </c>
      <c r="CY38" s="157">
        <f>SUM($BF38:BG38)</f>
        <v>0</v>
      </c>
      <c r="CZ38" s="157">
        <f>SUM($BF38:BH38)</f>
        <v>0</v>
      </c>
      <c r="DA38" s="157">
        <f>SUM($BF38:BI38)</f>
        <v>0</v>
      </c>
      <c r="DB38" s="157">
        <f t="shared" si="62"/>
        <v>0</v>
      </c>
      <c r="DD38" s="157">
        <f>+BL38</f>
        <v>-667000</v>
      </c>
      <c r="DE38" s="157">
        <f>SUM($BL38:BM38)</f>
        <v>-1873000</v>
      </c>
      <c r="DF38" s="157">
        <f>SUM($BL38:BN38)</f>
        <v>-2200000</v>
      </c>
      <c r="DG38" s="157">
        <f>SUM($BL38:BO38)</f>
        <v>-2200000</v>
      </c>
      <c r="DH38" s="157">
        <f>+BP38</f>
        <v>-2200000</v>
      </c>
      <c r="DJ38" s="157">
        <f>+BR38</f>
        <v>0</v>
      </c>
      <c r="DK38" s="157">
        <f>SUM($BR38:BS38)</f>
        <v>0</v>
      </c>
      <c r="DL38" s="157">
        <f>SUM($BR38:BT38)</f>
        <v>0</v>
      </c>
      <c r="DM38" s="157">
        <f>SUM($BR38:BU38)</f>
        <v>0</v>
      </c>
      <c r="DN38" s="157">
        <f>+BV38</f>
        <v>0</v>
      </c>
      <c r="DP38" s="157">
        <f>+BX38</f>
        <v>-2500000</v>
      </c>
      <c r="DQ38" s="157">
        <f>SUM($BX38:BY38)</f>
        <v>-2500000</v>
      </c>
      <c r="DR38" s="157">
        <f>SUM($BX38:BZ38)</f>
        <v>-2500000</v>
      </c>
      <c r="DS38" s="157">
        <f>SUM($BX38:CA38)</f>
        <v>-2500000</v>
      </c>
      <c r="DT38" s="157">
        <f>+CB38</f>
        <v>-2500000</v>
      </c>
    </row>
    <row r="39" spans="1:124" ht="27.5" customHeight="1" x14ac:dyDescent="0.25">
      <c r="A39" s="256" t="str">
        <f>IF(T39=V39,T39,"Net cash provided by (used in) investing activities")</f>
        <v>Net cash used in investing activities</v>
      </c>
      <c r="B39" s="256" t="str">
        <f>IF(AD39=AF39,AD39,"Net cash provided by (used in) investing activities")</f>
        <v>Net cash provided by (used in) investing activities</v>
      </c>
      <c r="D39" s="257">
        <f>SUM(D30:D38)</f>
        <v>-1239000</v>
      </c>
      <c r="F39" s="257">
        <f>SUM(F30:F38)</f>
        <v>-2211000</v>
      </c>
      <c r="H39" s="257">
        <f>SUM(H30:H38)</f>
        <v>-679000</v>
      </c>
      <c r="J39" s="257">
        <f>SUM(J30:J38)</f>
        <v>20922000</v>
      </c>
      <c r="L39" s="257">
        <f>SUM(L30:L38)</f>
        <v>-2099000</v>
      </c>
      <c r="N39" s="257">
        <f>SUM(N30:N38)</f>
        <v>-4693000</v>
      </c>
      <c r="P39" s="198">
        <f t="shared" si="49"/>
        <v>972000</v>
      </c>
      <c r="R39" s="198">
        <f t="shared" si="50"/>
        <v>-1532000</v>
      </c>
      <c r="T39" s="54" t="str">
        <f>IF(D39&gt;0,"Net cash provided by investing activities","Net cash used in investing activities")</f>
        <v>Net cash used in investing activities</v>
      </c>
      <c r="V39" s="54" t="str">
        <f>IF(F39&gt;0,"Net cash provided by investing activities","Net cash used in investing activities")</f>
        <v>Net cash used in investing activities</v>
      </c>
      <c r="X39" s="54" t="str">
        <f>IF(H39&gt;0,"Net cash provided by investing activities","Net cash used in investing activities")</f>
        <v>Net cash used in investing activities</v>
      </c>
      <c r="Z39" s="198">
        <f t="shared" si="0"/>
        <v>23021000</v>
      </c>
      <c r="AB39" s="198">
        <f t="shared" si="1"/>
        <v>2594000</v>
      </c>
      <c r="AD39" s="54" t="str">
        <f>IF(J39&gt;0,"Net cash provided by investing activities","Net cash used in investing activities")</f>
        <v>Net cash provided by investing activities</v>
      </c>
      <c r="AF39" s="54" t="str">
        <f>IF(L39&gt;0,"Net cash provided by investing activities","Net cash used in investing activities")</f>
        <v>Net cash used in investing activities</v>
      </c>
      <c r="AH39" s="54" t="str">
        <f>IF(N39&gt;0,"Net cash provided by investing activities","Net cash used in investing activities")</f>
        <v>Net cash used in investing activities</v>
      </c>
      <c r="AJ39" s="253">
        <f t="shared" si="5"/>
        <v>33</v>
      </c>
      <c r="AL39" s="276"/>
      <c r="AN39" s="159">
        <f>SUM(AN30:AN38)</f>
        <v>-593000</v>
      </c>
      <c r="AO39" s="159">
        <f>SUM(AO30:AO38)</f>
        <v>22754000</v>
      </c>
      <c r="AP39" s="159">
        <f>SUM(AP30:AP38)</f>
        <v>-1239000</v>
      </c>
      <c r="AQ39" s="159">
        <f>SUM(AQ30:AQ38)</f>
        <v>0</v>
      </c>
      <c r="AR39" s="159">
        <f>SUM(AR30:AR38)</f>
        <v>20922000</v>
      </c>
      <c r="AT39" s="159">
        <f>SUM(AT30:AT38)</f>
        <v>-553000</v>
      </c>
      <c r="AU39" s="159">
        <f>SUM(AU30:AU38)</f>
        <v>665000</v>
      </c>
      <c r="AV39" s="159">
        <f>SUM(AV30:AV38)</f>
        <v>-2211000</v>
      </c>
      <c r="AW39" s="159">
        <f>SUM(AW30:AW38)</f>
        <v>-171581000</v>
      </c>
      <c r="AX39" s="159">
        <f>SUM(AX30:AX38)</f>
        <v>-173680000</v>
      </c>
      <c r="AZ39" s="159">
        <f>SUM(AZ30:AZ38)</f>
        <v>-1741000</v>
      </c>
      <c r="BA39" s="159">
        <f>SUM(BA30:BA38)</f>
        <v>-2273000</v>
      </c>
      <c r="BB39" s="159">
        <f>SUM(BB30:BB38)</f>
        <v>-679000</v>
      </c>
      <c r="BC39" s="159">
        <f>SUM(BC30:BC38)</f>
        <v>-24306000</v>
      </c>
      <c r="BD39" s="159">
        <f>SUM(BD30:BD38)</f>
        <v>-28999000</v>
      </c>
      <c r="BF39" s="159">
        <f>SUM(BF30:BF38)</f>
        <v>22205000</v>
      </c>
      <c r="BG39" s="159">
        <f>SUM(BG30:BG38)</f>
        <v>-876000</v>
      </c>
      <c r="BH39" s="159">
        <f>SUM(BH30:BH38)</f>
        <v>-3140000</v>
      </c>
      <c r="BI39" s="159">
        <f>SUM(BI30:BI38)</f>
        <v>-10611000</v>
      </c>
      <c r="BJ39" s="159">
        <f>SUM(BJ30:BJ38)</f>
        <v>7578000</v>
      </c>
      <c r="BL39" s="159">
        <f>SUM(BL30:BL38)</f>
        <v>-1499000</v>
      </c>
      <c r="BM39" s="159">
        <f>SUM(BM30:BM38)</f>
        <v>-4435000</v>
      </c>
      <c r="BN39" s="159">
        <f>SUM(BN30:BN38)</f>
        <v>-18820000</v>
      </c>
      <c r="BO39" s="159">
        <f>SUM(BO30:BO38)</f>
        <v>-63140000</v>
      </c>
      <c r="BP39" s="159">
        <f>SUM(BP30:BP38)</f>
        <v>-87894000</v>
      </c>
      <c r="BR39" s="159">
        <f>SUM(BR30:BR38)</f>
        <v>-9367000</v>
      </c>
      <c r="BS39" s="159">
        <f>SUM(BS30:BS38)</f>
        <v>-103010000</v>
      </c>
      <c r="BT39" s="159">
        <f>SUM(BT30:BT38)</f>
        <v>-2773000</v>
      </c>
      <c r="BU39" s="159">
        <f>SUM(BU30:BU38)</f>
        <v>-1053000</v>
      </c>
      <c r="BV39" s="159">
        <f>SUM(BV30:BV38)</f>
        <v>-116203000</v>
      </c>
      <c r="BX39" s="159">
        <f>SUM(BX30:BX38)</f>
        <v>-4111000</v>
      </c>
      <c r="BY39" s="159">
        <f>SUM(BY30:BY38)</f>
        <v>-1746000</v>
      </c>
      <c r="BZ39" s="159">
        <f>SUM(BZ30:BZ38)</f>
        <v>-1938000</v>
      </c>
      <c r="CA39" s="159">
        <f>SUM(CA30:CA38)</f>
        <v>-3347000</v>
      </c>
      <c r="CB39" s="159">
        <f>SUM(CB30:CB38)</f>
        <v>-11142000</v>
      </c>
      <c r="CD39" s="172"/>
      <c r="CF39" s="159">
        <f>SUM(CF30:CF38)</f>
        <v>-593000</v>
      </c>
      <c r="CG39" s="159">
        <f>SUM(CG30:CG38)</f>
        <v>22161000</v>
      </c>
      <c r="CH39" s="159">
        <f>SUM(CH30:CH38)</f>
        <v>20922000</v>
      </c>
      <c r="CI39" s="159">
        <f>SUM(CI30:CI38)</f>
        <v>20922000</v>
      </c>
      <c r="CJ39" s="159">
        <f>SUM(CJ30:CJ38)</f>
        <v>20922000</v>
      </c>
      <c r="CL39" s="159">
        <f>SUM(CL30:CL38)</f>
        <v>-553000</v>
      </c>
      <c r="CM39" s="159">
        <f>SUM(CM30:CM38)</f>
        <v>112000</v>
      </c>
      <c r="CN39" s="159">
        <f>SUM(CN30:CN38)</f>
        <v>-2099000</v>
      </c>
      <c r="CO39" s="159">
        <f>SUM(CO30:CO38)</f>
        <v>-173680000</v>
      </c>
      <c r="CP39" s="159">
        <f>SUM(CP30:CP38)</f>
        <v>-173680000</v>
      </c>
      <c r="CR39" s="157">
        <f>SUM(CR30:CR38)</f>
        <v>-1741000</v>
      </c>
      <c r="CS39" s="157">
        <f>SUM(CS30:CS38)</f>
        <v>-4014000</v>
      </c>
      <c r="CT39" s="157">
        <f>SUM(CT30:CT38)</f>
        <v>-4693000</v>
      </c>
      <c r="CU39" s="157">
        <f>SUM(CU30:CU38)</f>
        <v>-28999000</v>
      </c>
      <c r="CV39" s="157">
        <f>SUM(CV30:CV38)</f>
        <v>-28999000</v>
      </c>
      <c r="CX39" s="159">
        <f>SUM(CX30:CX38)</f>
        <v>22205000</v>
      </c>
      <c r="CY39" s="159">
        <f>SUM(CY30:CY38)</f>
        <v>21329000</v>
      </c>
      <c r="CZ39" s="159">
        <f>SUM(CZ30:CZ38)</f>
        <v>18189000</v>
      </c>
      <c r="DA39" s="159">
        <f>SUM(DA30:DA38)</f>
        <v>7578000</v>
      </c>
      <c r="DB39" s="159">
        <f>SUM(DB30:DB38)</f>
        <v>7578000</v>
      </c>
      <c r="DD39" s="159">
        <f>SUM(DD30:DD38)</f>
        <v>-1499000</v>
      </c>
      <c r="DE39" s="159">
        <f>SUM(DE30:DE38)</f>
        <v>-5934000</v>
      </c>
      <c r="DF39" s="159">
        <f>SUM(DF30:DF38)</f>
        <v>-24754000</v>
      </c>
      <c r="DG39" s="159">
        <f>SUM(DG30:DG38)</f>
        <v>-87894000</v>
      </c>
      <c r="DH39" s="159">
        <f>SUM(DH30:DH38)</f>
        <v>-87894000</v>
      </c>
      <c r="DJ39" s="159">
        <f>SUM(DJ30:DJ38)</f>
        <v>-9367000</v>
      </c>
      <c r="DK39" s="159">
        <f>SUM(DK30:DK38)</f>
        <v>-112377000</v>
      </c>
      <c r="DL39" s="159">
        <f>SUM(DL30:DL38)</f>
        <v>-115150000</v>
      </c>
      <c r="DM39" s="159">
        <f>SUM(DM30:DM38)</f>
        <v>-116203000</v>
      </c>
      <c r="DN39" s="159">
        <f>SUM(DN30:DN38)</f>
        <v>-116203000</v>
      </c>
      <c r="DP39" s="159">
        <f>SUM(DP30:DP38)</f>
        <v>-4111000</v>
      </c>
      <c r="DQ39" s="159">
        <f>SUM(DQ30:DQ38)</f>
        <v>-5857000</v>
      </c>
      <c r="DR39" s="159">
        <f>SUM(DR30:DR38)</f>
        <v>-7795000</v>
      </c>
      <c r="DS39" s="159">
        <f>SUM(DS30:DS38)</f>
        <v>-11142000</v>
      </c>
      <c r="DT39" s="159">
        <f>SUM(DT30:DT38)</f>
        <v>-11142000</v>
      </c>
    </row>
    <row r="40" spans="1:124" ht="16.649999999999999" customHeight="1" x14ac:dyDescent="0.25">
      <c r="A40" s="22" t="s">
        <v>363</v>
      </c>
      <c r="B40" s="22" t="s">
        <v>363</v>
      </c>
      <c r="D40" s="50"/>
      <c r="F40" s="50"/>
      <c r="H40" s="50"/>
      <c r="J40" s="50"/>
      <c r="L40" s="50"/>
      <c r="N40" s="50"/>
      <c r="Z40" s="198">
        <f t="shared" si="0"/>
        <v>0</v>
      </c>
      <c r="AB40" s="198">
        <f t="shared" si="1"/>
        <v>0</v>
      </c>
      <c r="AJ40" s="253">
        <f t="shared" si="5"/>
        <v>34</v>
      </c>
      <c r="AL40" s="240"/>
      <c r="AN40" s="102"/>
      <c r="AO40" s="102"/>
      <c r="AP40" s="102"/>
      <c r="AQ40" s="102"/>
      <c r="AR40" s="102"/>
      <c r="AT40" s="102"/>
      <c r="AU40" s="102"/>
      <c r="AV40" s="102"/>
      <c r="AW40" s="102"/>
      <c r="AX40" s="102"/>
      <c r="AZ40" s="102"/>
      <c r="BA40" s="102"/>
      <c r="BB40" s="102"/>
      <c r="BC40" s="102"/>
      <c r="BD40" s="102"/>
      <c r="BF40" s="102"/>
      <c r="BG40" s="102"/>
      <c r="BH40" s="102"/>
      <c r="BI40" s="102"/>
      <c r="BJ40" s="102"/>
      <c r="BL40" s="102"/>
      <c r="BM40" s="102"/>
      <c r="BN40" s="102"/>
      <c r="BO40" s="102"/>
      <c r="BP40" s="102"/>
      <c r="BR40" s="102"/>
      <c r="BS40" s="102"/>
      <c r="BT40" s="102"/>
      <c r="BU40" s="102"/>
      <c r="BV40" s="102"/>
      <c r="BX40" s="102"/>
      <c r="BY40" s="102"/>
      <c r="BZ40" s="102"/>
      <c r="CA40" s="102"/>
      <c r="CB40" s="102"/>
      <c r="CD40" s="167"/>
      <c r="CF40" s="102"/>
      <c r="CG40" s="102"/>
      <c r="CH40" s="102"/>
      <c r="CI40" s="102"/>
      <c r="CJ40" s="102"/>
      <c r="CL40" s="102"/>
      <c r="CM40" s="102"/>
      <c r="CN40" s="102"/>
      <c r="CO40" s="102"/>
      <c r="CP40" s="102"/>
      <c r="CR40" s="102"/>
      <c r="CS40" s="102"/>
      <c r="CT40" s="102"/>
      <c r="CU40" s="102"/>
      <c r="CV40" s="102"/>
      <c r="CX40" s="102"/>
      <c r="CY40" s="102"/>
      <c r="CZ40" s="102"/>
      <c r="DA40" s="102"/>
      <c r="DB40" s="102"/>
      <c r="DD40" s="102"/>
      <c r="DE40" s="102"/>
      <c r="DF40" s="102"/>
      <c r="DG40" s="102"/>
      <c r="DH40" s="102"/>
      <c r="DJ40" s="102"/>
      <c r="DK40" s="102"/>
      <c r="DL40" s="102"/>
      <c r="DM40" s="102"/>
      <c r="DN40" s="102"/>
      <c r="DP40" s="102"/>
      <c r="DQ40" s="102"/>
      <c r="DR40" s="102"/>
      <c r="DS40" s="102"/>
      <c r="DT40" s="102"/>
    </row>
    <row r="41" spans="1:124" ht="16.649999999999999" customHeight="1" x14ac:dyDescent="0.25">
      <c r="A41" s="130" t="s">
        <v>364</v>
      </c>
      <c r="B41" s="130" t="s">
        <v>364</v>
      </c>
      <c r="D41" s="83">
        <f t="shared" ref="D41:D46" si="63">HLOOKUP(D$7,$AL$7:$CD$75,$AJ41,FALSE)</f>
        <v>0</v>
      </c>
      <c r="F41" s="83">
        <f t="shared" ref="F41:F46" si="64">HLOOKUP(F$7,$AL$7:$CD$75,$AJ41,FALSE)</f>
        <v>0</v>
      </c>
      <c r="H41" s="83">
        <f t="shared" ref="H41:H46" si="65">HLOOKUP(H$7,$AL$7:$CD$75,$AJ41,FALSE)</f>
        <v>0</v>
      </c>
      <c r="J41" s="83">
        <f t="shared" ref="J41:J46" si="66">HLOOKUP(J$7,$CD$7:$DU$75,$AJ41,FALSE)</f>
        <v>0</v>
      </c>
      <c r="L41" s="83">
        <f t="shared" ref="L41:L46" si="67">HLOOKUP(L$7,$CD$7:$DU$75,$AJ41,FALSE)</f>
        <v>0</v>
      </c>
      <c r="N41" s="83">
        <f t="shared" ref="N41:N46" si="68">HLOOKUP(N$7,$CD$7:$DU$75,$AJ41,FALSE)</f>
        <v>0</v>
      </c>
      <c r="P41" s="198">
        <f t="shared" ref="P41:P48" si="69">+D41-F41</f>
        <v>0</v>
      </c>
      <c r="R41" s="198">
        <f t="shared" ref="R41:R48" si="70">+F41-H41</f>
        <v>0</v>
      </c>
      <c r="Z41" s="198">
        <f t="shared" si="0"/>
        <v>0</v>
      </c>
      <c r="AB41" s="198">
        <f t="shared" si="1"/>
        <v>0</v>
      </c>
      <c r="AJ41" s="253">
        <f t="shared" si="5"/>
        <v>35</v>
      </c>
      <c r="AL41" s="276"/>
      <c r="AR41" s="94">
        <f t="shared" ref="AR41:AR46" si="71">SUM(AN41:AQ41)</f>
        <v>0</v>
      </c>
      <c r="AX41" s="94">
        <f t="shared" ref="AX41:AX46" si="72">SUM(AT41:AW41)</f>
        <v>0</v>
      </c>
      <c r="BD41" s="94">
        <f t="shared" ref="BD41:BD46" si="73">SUM(AZ41:BC41)</f>
        <v>0</v>
      </c>
      <c r="BJ41" s="94">
        <f t="shared" ref="BJ41:BJ46" si="74">SUM(BF41:BI41)</f>
        <v>0</v>
      </c>
      <c r="BL41" s="94">
        <v>0</v>
      </c>
      <c r="BM41" s="94">
        <v>0</v>
      </c>
      <c r="BN41" s="94">
        <v>0</v>
      </c>
      <c r="BO41" s="94">
        <v>0</v>
      </c>
      <c r="BP41" s="94">
        <f t="shared" ref="BP41:BP46" si="75">SUM(BL41:BO41)</f>
        <v>0</v>
      </c>
      <c r="BR41" s="94">
        <v>0</v>
      </c>
      <c r="BS41" s="94">
        <v>0</v>
      </c>
      <c r="BT41" s="94">
        <v>0</v>
      </c>
      <c r="BV41" s="94">
        <f t="shared" ref="BV41:BV46" si="76">SUM(BR41:BU41)</f>
        <v>0</v>
      </c>
      <c r="BX41" s="94">
        <v>-592000</v>
      </c>
      <c r="BY41" s="94">
        <v>-2701000</v>
      </c>
      <c r="BZ41" s="94">
        <v>-230000000</v>
      </c>
      <c r="CB41" s="94">
        <f t="shared" ref="CB41:CB46" si="77">SUM(BX41:CA41)</f>
        <v>-233293000</v>
      </c>
      <c r="CD41" s="167"/>
      <c r="CF41" s="94">
        <f t="shared" ref="CF41:CF47" si="78">+AN41</f>
        <v>0</v>
      </c>
      <c r="CG41" s="94">
        <f>SUM($AN41:AO41)</f>
        <v>0</v>
      </c>
      <c r="CH41" s="94">
        <f>SUM($AN41:AP41)</f>
        <v>0</v>
      </c>
      <c r="CI41" s="94">
        <f>SUM($AN41:AQ41)</f>
        <v>0</v>
      </c>
      <c r="CJ41" s="94">
        <f t="shared" ref="CJ41:CJ47" si="79">+AR41</f>
        <v>0</v>
      </c>
      <c r="CL41" s="94">
        <f t="shared" ref="CL41:CL47" si="80">+AT41</f>
        <v>0</v>
      </c>
      <c r="CM41" s="94">
        <f>SUM($AT41:AU41)</f>
        <v>0</v>
      </c>
      <c r="CN41" s="94">
        <f>SUM($AT41:AV41)</f>
        <v>0</v>
      </c>
      <c r="CO41" s="94">
        <f>SUM($AT41:AW41)</f>
        <v>0</v>
      </c>
      <c r="CP41" s="94">
        <f t="shared" ref="CP41:CP47" si="81">+AX41</f>
        <v>0</v>
      </c>
      <c r="CR41" s="94">
        <f t="shared" ref="CR41:CR46" si="82">+AZ41</f>
        <v>0</v>
      </c>
      <c r="CS41" s="94">
        <f>SUM($AZ41:BA41)</f>
        <v>0</v>
      </c>
      <c r="CT41" s="94">
        <f>SUM($AZ41:BB41)</f>
        <v>0</v>
      </c>
      <c r="CU41" s="94">
        <f>SUM($AZ41:BC41)</f>
        <v>0</v>
      </c>
      <c r="CV41" s="94">
        <f t="shared" ref="CV41:CV46" si="83">+BD41</f>
        <v>0</v>
      </c>
      <c r="CX41" s="94">
        <f t="shared" ref="CX41:CX46" si="84">+BF41</f>
        <v>0</v>
      </c>
      <c r="CY41" s="94">
        <f>SUM($BF41:BG41)</f>
        <v>0</v>
      </c>
      <c r="CZ41" s="94">
        <f>SUM($BF41:BH41)</f>
        <v>0</v>
      </c>
      <c r="DA41" s="94">
        <f>SUM($BF41:BI41)</f>
        <v>0</v>
      </c>
      <c r="DB41" s="94">
        <f t="shared" ref="DB41:DB46" si="85">+BJ41</f>
        <v>0</v>
      </c>
      <c r="DD41" s="94">
        <f t="shared" ref="DD41:DD46" si="86">+BL41</f>
        <v>0</v>
      </c>
      <c r="DE41" s="94">
        <f>SUM($BL41:BM41)</f>
        <v>0</v>
      </c>
      <c r="DF41" s="94">
        <f>SUM($BL41:BN41)</f>
        <v>0</v>
      </c>
      <c r="DG41" s="94">
        <f>SUM($BL41:BO41)</f>
        <v>0</v>
      </c>
      <c r="DH41" s="94">
        <f t="shared" ref="DH41:DH46" si="87">+BP41</f>
        <v>0</v>
      </c>
      <c r="DJ41" s="94">
        <f t="shared" ref="DJ41:DJ46" si="88">+BR41</f>
        <v>0</v>
      </c>
      <c r="DK41" s="94">
        <f>SUM($BR41:BS41)</f>
        <v>0</v>
      </c>
      <c r="DL41" s="94">
        <f>SUM($BR41:BT41)</f>
        <v>0</v>
      </c>
      <c r="DM41" s="94">
        <f>SUM($BR41:BU41)</f>
        <v>0</v>
      </c>
      <c r="DN41" s="94">
        <f t="shared" ref="DN41:DN46" si="89">+BV41</f>
        <v>0</v>
      </c>
      <c r="DP41" s="94">
        <f t="shared" ref="DP41:DP46" si="90">+BX41</f>
        <v>-592000</v>
      </c>
      <c r="DQ41" s="94">
        <f>SUM($BX41:BY41)</f>
        <v>-3293000</v>
      </c>
      <c r="DR41" s="94">
        <f>SUM($BX41:BZ41)</f>
        <v>-233293000</v>
      </c>
      <c r="DS41" s="94">
        <f>SUM($BX41:CA41)</f>
        <v>-233293000</v>
      </c>
      <c r="DT41" s="94">
        <f t="shared" ref="DT41:DT46" si="91">+CB41</f>
        <v>-233293000</v>
      </c>
    </row>
    <row r="42" spans="1:124" ht="16.649999999999999" customHeight="1" x14ac:dyDescent="0.25">
      <c r="A42" s="130" t="s">
        <v>365</v>
      </c>
      <c r="B42" s="130" t="s">
        <v>365</v>
      </c>
      <c r="D42" s="83">
        <f t="shared" si="63"/>
        <v>0</v>
      </c>
      <c r="F42" s="83">
        <f t="shared" si="64"/>
        <v>0</v>
      </c>
      <c r="H42" s="83">
        <f t="shared" si="65"/>
        <v>0</v>
      </c>
      <c r="J42" s="83">
        <f t="shared" si="66"/>
        <v>0</v>
      </c>
      <c r="L42" s="83">
        <f t="shared" si="67"/>
        <v>0</v>
      </c>
      <c r="N42" s="83">
        <f t="shared" si="68"/>
        <v>0</v>
      </c>
      <c r="P42" s="198">
        <f t="shared" si="69"/>
        <v>0</v>
      </c>
      <c r="R42" s="198">
        <f t="shared" si="70"/>
        <v>0</v>
      </c>
      <c r="Z42" s="198">
        <f t="shared" si="0"/>
        <v>0</v>
      </c>
      <c r="AB42" s="198">
        <f t="shared" si="1"/>
        <v>0</v>
      </c>
      <c r="AJ42" s="253">
        <f t="shared" ref="AJ42:AJ73" si="92">+AJ41+1</f>
        <v>36</v>
      </c>
      <c r="AL42" s="276"/>
      <c r="AR42" s="94">
        <f t="shared" si="71"/>
        <v>0</v>
      </c>
      <c r="AX42" s="94">
        <f t="shared" si="72"/>
        <v>0</v>
      </c>
      <c r="BD42" s="94">
        <f t="shared" si="73"/>
        <v>0</v>
      </c>
      <c r="BJ42" s="94">
        <f t="shared" si="74"/>
        <v>0</v>
      </c>
      <c r="BL42" s="94">
        <v>0</v>
      </c>
      <c r="BM42" s="94">
        <v>0</v>
      </c>
      <c r="BN42" s="94">
        <v>0</v>
      </c>
      <c r="BO42" s="94">
        <v>0</v>
      </c>
      <c r="BP42" s="94">
        <f t="shared" si="75"/>
        <v>0</v>
      </c>
      <c r="BR42" s="94">
        <v>0</v>
      </c>
      <c r="BS42" s="94">
        <v>0</v>
      </c>
      <c r="BT42" s="94">
        <v>0</v>
      </c>
      <c r="BV42" s="94">
        <f t="shared" si="76"/>
        <v>0</v>
      </c>
      <c r="BX42" s="94">
        <v>-300000</v>
      </c>
      <c r="BY42" s="94">
        <v>0</v>
      </c>
      <c r="BZ42" s="94">
        <v>0</v>
      </c>
      <c r="CB42" s="94">
        <f t="shared" si="77"/>
        <v>-300000</v>
      </c>
      <c r="CD42" s="167"/>
      <c r="CF42" s="94">
        <f t="shared" si="78"/>
        <v>0</v>
      </c>
      <c r="CG42" s="94">
        <f>SUM($AN42:AO42)</f>
        <v>0</v>
      </c>
      <c r="CH42" s="94">
        <f>SUM($AN42:AP42)</f>
        <v>0</v>
      </c>
      <c r="CI42" s="94">
        <f>SUM($AN42:AQ42)</f>
        <v>0</v>
      </c>
      <c r="CJ42" s="94">
        <f t="shared" si="79"/>
        <v>0</v>
      </c>
      <c r="CL42" s="94">
        <f t="shared" si="80"/>
        <v>0</v>
      </c>
      <c r="CM42" s="94">
        <f>SUM($AT42:AU42)</f>
        <v>0</v>
      </c>
      <c r="CN42" s="94">
        <f>SUM($AT42:AV42)</f>
        <v>0</v>
      </c>
      <c r="CO42" s="94">
        <f>SUM($AT42:AW42)</f>
        <v>0</v>
      </c>
      <c r="CP42" s="94">
        <f t="shared" si="81"/>
        <v>0</v>
      </c>
      <c r="CR42" s="94">
        <f t="shared" si="82"/>
        <v>0</v>
      </c>
      <c r="CS42" s="94">
        <f>SUM($AZ42:BA42)</f>
        <v>0</v>
      </c>
      <c r="CT42" s="94">
        <f>SUM($AZ42:BB42)</f>
        <v>0</v>
      </c>
      <c r="CU42" s="94">
        <f>SUM($AZ42:BC42)</f>
        <v>0</v>
      </c>
      <c r="CV42" s="94">
        <f t="shared" si="83"/>
        <v>0</v>
      </c>
      <c r="CX42" s="94">
        <f t="shared" si="84"/>
        <v>0</v>
      </c>
      <c r="CY42" s="94">
        <f>SUM($BF42:BG42)</f>
        <v>0</v>
      </c>
      <c r="CZ42" s="94">
        <f>SUM($BF42:BH42)</f>
        <v>0</v>
      </c>
      <c r="DA42" s="94">
        <f>SUM($BF42:BI42)</f>
        <v>0</v>
      </c>
      <c r="DB42" s="94">
        <f t="shared" si="85"/>
        <v>0</v>
      </c>
      <c r="DD42" s="94">
        <f t="shared" si="86"/>
        <v>0</v>
      </c>
      <c r="DE42" s="94">
        <f>SUM($BL42:BM42)</f>
        <v>0</v>
      </c>
      <c r="DF42" s="94">
        <f>SUM($BL42:BN42)</f>
        <v>0</v>
      </c>
      <c r="DG42" s="94">
        <f>SUM($BL42:BO42)</f>
        <v>0</v>
      </c>
      <c r="DH42" s="94">
        <f t="shared" si="87"/>
        <v>0</v>
      </c>
      <c r="DJ42" s="94">
        <f t="shared" si="88"/>
        <v>0</v>
      </c>
      <c r="DK42" s="94">
        <f>SUM($BR42:BS42)</f>
        <v>0</v>
      </c>
      <c r="DL42" s="94">
        <f>SUM($BR42:BT42)</f>
        <v>0</v>
      </c>
      <c r="DM42" s="94">
        <f>SUM($BR42:BU42)</f>
        <v>0</v>
      </c>
      <c r="DN42" s="94">
        <f t="shared" si="89"/>
        <v>0</v>
      </c>
      <c r="DP42" s="94">
        <f t="shared" si="90"/>
        <v>-300000</v>
      </c>
      <c r="DQ42" s="94">
        <f>SUM($BX42:BY42)</f>
        <v>-300000</v>
      </c>
      <c r="DR42" s="94">
        <f>SUM($BX42:BZ42)</f>
        <v>-300000</v>
      </c>
      <c r="DS42" s="94">
        <f>SUM($BX42:CA42)</f>
        <v>-300000</v>
      </c>
      <c r="DT42" s="94">
        <f t="shared" si="91"/>
        <v>-300000</v>
      </c>
    </row>
    <row r="43" spans="1:124" ht="39.15" customHeight="1" x14ac:dyDescent="0.25">
      <c r="A43" s="130" t="s">
        <v>366</v>
      </c>
      <c r="B43" s="130" t="s">
        <v>366</v>
      </c>
      <c r="D43" s="83">
        <f t="shared" si="63"/>
        <v>2304000</v>
      </c>
      <c r="F43" s="83">
        <f t="shared" si="64"/>
        <v>1646000</v>
      </c>
      <c r="H43" s="83">
        <f t="shared" si="65"/>
        <v>1664000</v>
      </c>
      <c r="J43" s="83">
        <f t="shared" si="66"/>
        <v>8631000</v>
      </c>
      <c r="L43" s="83">
        <f t="shared" si="67"/>
        <v>7221000</v>
      </c>
      <c r="N43" s="83">
        <f t="shared" si="68"/>
        <v>6255000</v>
      </c>
      <c r="P43" s="198">
        <f t="shared" si="69"/>
        <v>658000</v>
      </c>
      <c r="R43" s="198">
        <f t="shared" si="70"/>
        <v>-18000</v>
      </c>
      <c r="Z43" s="198">
        <f t="shared" si="0"/>
        <v>1410000</v>
      </c>
      <c r="AB43" s="198">
        <f t="shared" si="1"/>
        <v>966000</v>
      </c>
      <c r="AJ43" s="253">
        <f t="shared" si="92"/>
        <v>37</v>
      </c>
      <c r="AL43" s="276"/>
      <c r="AN43" s="94">
        <v>6167000</v>
      </c>
      <c r="AO43" s="94">
        <v>160000</v>
      </c>
      <c r="AP43" s="94">
        <v>2304000</v>
      </c>
      <c r="AR43" s="94">
        <f t="shared" si="71"/>
        <v>8631000</v>
      </c>
      <c r="AT43" s="94">
        <v>5573000</v>
      </c>
      <c r="AU43" s="94">
        <v>2000</v>
      </c>
      <c r="AV43" s="94">
        <v>1646000</v>
      </c>
      <c r="AW43" s="94">
        <v>1000</v>
      </c>
      <c r="AX43" s="94">
        <f t="shared" si="72"/>
        <v>7222000</v>
      </c>
      <c r="AZ43" s="94">
        <v>4589000</v>
      </c>
      <c r="BA43" s="94">
        <v>2000</v>
      </c>
      <c r="BB43" s="94">
        <v>1664000</v>
      </c>
      <c r="BC43" s="94">
        <v>4000</v>
      </c>
      <c r="BD43" s="94">
        <f t="shared" si="73"/>
        <v>6259000</v>
      </c>
      <c r="BF43" s="94">
        <v>3281000</v>
      </c>
      <c r="BG43" s="94">
        <v>997000</v>
      </c>
      <c r="BH43" s="94">
        <v>1905000</v>
      </c>
      <c r="BI43" s="94">
        <v>83000</v>
      </c>
      <c r="BJ43" s="94">
        <f t="shared" si="74"/>
        <v>6266000</v>
      </c>
      <c r="BL43" s="94">
        <v>1137000</v>
      </c>
      <c r="BM43" s="94">
        <v>2424000</v>
      </c>
      <c r="BN43" s="94">
        <v>5115000</v>
      </c>
      <c r="BO43" s="94">
        <v>61000</v>
      </c>
      <c r="BP43" s="94">
        <f t="shared" si="75"/>
        <v>8737000</v>
      </c>
      <c r="BR43" s="94">
        <v>1060000</v>
      </c>
      <c r="BS43" s="94">
        <v>1032000</v>
      </c>
      <c r="BT43" s="94">
        <v>1313000</v>
      </c>
      <c r="BU43" s="94">
        <v>1331000</v>
      </c>
      <c r="BV43" s="94">
        <f t="shared" si="76"/>
        <v>4736000</v>
      </c>
      <c r="BX43" s="94">
        <v>4116000</v>
      </c>
      <c r="BY43" s="94">
        <v>4005000</v>
      </c>
      <c r="BZ43" s="94">
        <v>9234000</v>
      </c>
      <c r="CA43" s="94">
        <v>3064000</v>
      </c>
      <c r="CB43" s="94">
        <f t="shared" si="77"/>
        <v>20419000</v>
      </c>
      <c r="CD43" s="167"/>
      <c r="CF43" s="94">
        <f t="shared" si="78"/>
        <v>6167000</v>
      </c>
      <c r="CG43" s="94">
        <f>SUM($AN43:AO43)</f>
        <v>6327000</v>
      </c>
      <c r="CH43" s="94">
        <f>SUM($AN43:AP43)</f>
        <v>8631000</v>
      </c>
      <c r="CI43" s="94">
        <f>SUM($AN43:AQ43)</f>
        <v>8631000</v>
      </c>
      <c r="CJ43" s="94">
        <f t="shared" si="79"/>
        <v>8631000</v>
      </c>
      <c r="CL43" s="94">
        <f t="shared" si="80"/>
        <v>5573000</v>
      </c>
      <c r="CM43" s="94">
        <f>SUM($AT43:AU43)</f>
        <v>5575000</v>
      </c>
      <c r="CN43" s="94">
        <f>SUM($AT43:AV43)</f>
        <v>7221000</v>
      </c>
      <c r="CO43" s="94">
        <f>SUM($AT43:AW43)</f>
        <v>7222000</v>
      </c>
      <c r="CP43" s="94">
        <f t="shared" si="81"/>
        <v>7222000</v>
      </c>
      <c r="CR43" s="94">
        <f t="shared" si="82"/>
        <v>4589000</v>
      </c>
      <c r="CS43" s="94">
        <f>SUM($AZ43:BA43)</f>
        <v>4591000</v>
      </c>
      <c r="CT43" s="94">
        <f>SUM($AZ43:BB43)</f>
        <v>6255000</v>
      </c>
      <c r="CU43" s="94">
        <f>SUM($AZ43:BC43)</f>
        <v>6259000</v>
      </c>
      <c r="CV43" s="94">
        <f t="shared" si="83"/>
        <v>6259000</v>
      </c>
      <c r="CX43" s="94">
        <f t="shared" si="84"/>
        <v>3281000</v>
      </c>
      <c r="CY43" s="94">
        <f>SUM($BF43:BG43)</f>
        <v>4278000</v>
      </c>
      <c r="CZ43" s="94">
        <f>SUM($BF43:BH43)</f>
        <v>6183000</v>
      </c>
      <c r="DA43" s="94">
        <f>SUM($BF43:BI43)</f>
        <v>6266000</v>
      </c>
      <c r="DB43" s="94">
        <f t="shared" si="85"/>
        <v>6266000</v>
      </c>
      <c r="DD43" s="94">
        <f t="shared" si="86"/>
        <v>1137000</v>
      </c>
      <c r="DE43" s="94">
        <f>SUM($BL43:BM43)</f>
        <v>3561000</v>
      </c>
      <c r="DF43" s="94">
        <f>SUM($BL43:BN43)</f>
        <v>8676000</v>
      </c>
      <c r="DG43" s="94">
        <f>SUM($BL43:BO43)</f>
        <v>8737000</v>
      </c>
      <c r="DH43" s="94">
        <f t="shared" si="87"/>
        <v>8737000</v>
      </c>
      <c r="DJ43" s="94">
        <f t="shared" si="88"/>
        <v>1060000</v>
      </c>
      <c r="DK43" s="94">
        <f>SUM($BR43:BS43)</f>
        <v>2092000</v>
      </c>
      <c r="DL43" s="94">
        <f>SUM($BR43:BT43)</f>
        <v>3405000</v>
      </c>
      <c r="DM43" s="94">
        <f>SUM($BR43:BU43)</f>
        <v>4736000</v>
      </c>
      <c r="DN43" s="94">
        <f t="shared" si="89"/>
        <v>4736000</v>
      </c>
      <c r="DP43" s="94">
        <f t="shared" si="90"/>
        <v>4116000</v>
      </c>
      <c r="DQ43" s="94">
        <f>SUM($BX43:BY43)</f>
        <v>8121000</v>
      </c>
      <c r="DR43" s="94">
        <f>SUM($BX43:BZ43)</f>
        <v>17355000</v>
      </c>
      <c r="DS43" s="94">
        <f>SUM($BX43:CA43)</f>
        <v>20419000</v>
      </c>
      <c r="DT43" s="94">
        <f t="shared" si="91"/>
        <v>20419000</v>
      </c>
    </row>
    <row r="44" spans="1:124" ht="39.15" customHeight="1" x14ac:dyDescent="0.25">
      <c r="A44" s="130" t="s">
        <v>367</v>
      </c>
      <c r="B44" s="130" t="s">
        <v>367</v>
      </c>
      <c r="D44" s="83">
        <f t="shared" si="63"/>
        <v>-1565000</v>
      </c>
      <c r="F44" s="83">
        <f t="shared" si="64"/>
        <v>-547000</v>
      </c>
      <c r="H44" s="83">
        <f t="shared" si="65"/>
        <v>-764000</v>
      </c>
      <c r="J44" s="83">
        <f t="shared" si="66"/>
        <v>-9305000</v>
      </c>
      <c r="L44" s="83">
        <f t="shared" si="67"/>
        <v>-5116000</v>
      </c>
      <c r="N44" s="83">
        <f t="shared" si="68"/>
        <v>-2054000</v>
      </c>
      <c r="P44" s="198">
        <f t="shared" si="69"/>
        <v>-1018000</v>
      </c>
      <c r="R44" s="198">
        <f t="shared" si="70"/>
        <v>217000</v>
      </c>
      <c r="Z44" s="198">
        <f t="shared" si="0"/>
        <v>-4189000</v>
      </c>
      <c r="AB44" s="198">
        <f t="shared" si="1"/>
        <v>-3062000</v>
      </c>
      <c r="AJ44" s="253">
        <f t="shared" si="92"/>
        <v>38</v>
      </c>
      <c r="AL44" s="276"/>
      <c r="AN44" s="94">
        <v>-6847000</v>
      </c>
      <c r="AO44" s="94">
        <v>-893000</v>
      </c>
      <c r="AP44" s="94">
        <v>-1565000</v>
      </c>
      <c r="AR44" s="94">
        <f t="shared" si="71"/>
        <v>-9305000</v>
      </c>
      <c r="AT44" s="94">
        <v>-3892000</v>
      </c>
      <c r="AU44" s="94">
        <v>-677000</v>
      </c>
      <c r="AV44" s="94">
        <v>-547000</v>
      </c>
      <c r="AW44" s="94">
        <v>-719000</v>
      </c>
      <c r="AX44" s="94">
        <f t="shared" si="72"/>
        <v>-5835000</v>
      </c>
      <c r="AZ44" s="94">
        <v>-582000</v>
      </c>
      <c r="BA44" s="94">
        <v>-708000</v>
      </c>
      <c r="BB44" s="94">
        <v>-764000</v>
      </c>
      <c r="BC44" s="94">
        <v>-218000</v>
      </c>
      <c r="BD44" s="94">
        <f t="shared" si="73"/>
        <v>-2272000</v>
      </c>
      <c r="BF44" s="94">
        <v>-11361000</v>
      </c>
      <c r="BG44" s="94">
        <v>-1181000</v>
      </c>
      <c r="BH44" s="94">
        <v>-1674000</v>
      </c>
      <c r="BI44" s="94">
        <v>-410000</v>
      </c>
      <c r="BJ44" s="94">
        <f t="shared" si="74"/>
        <v>-14626000</v>
      </c>
      <c r="BL44" s="94">
        <v>-1827000</v>
      </c>
      <c r="BM44" s="94">
        <v>-3928000</v>
      </c>
      <c r="BN44" s="94">
        <v>-3627000</v>
      </c>
      <c r="BO44" s="94">
        <v>-538000</v>
      </c>
      <c r="BP44" s="94">
        <f t="shared" si="75"/>
        <v>-9920000</v>
      </c>
      <c r="BR44" s="94">
        <v>-12093000</v>
      </c>
      <c r="BS44" s="94">
        <v>-1814000</v>
      </c>
      <c r="BT44" s="94">
        <v>-4150000</v>
      </c>
      <c r="BU44" s="94">
        <v>-6465000</v>
      </c>
      <c r="BV44" s="94">
        <f t="shared" si="76"/>
        <v>-24522000</v>
      </c>
      <c r="BX44" s="94">
        <v>-10044000</v>
      </c>
      <c r="BY44" s="94">
        <v>-4580000</v>
      </c>
      <c r="BZ44" s="94">
        <v>-22282000</v>
      </c>
      <c r="CA44" s="94">
        <v>-13614000</v>
      </c>
      <c r="CB44" s="94">
        <f t="shared" si="77"/>
        <v>-50520000</v>
      </c>
      <c r="CD44" s="167"/>
      <c r="CF44" s="94">
        <f t="shared" si="78"/>
        <v>-6847000</v>
      </c>
      <c r="CG44" s="94">
        <f>SUM($AN44:AO44)</f>
        <v>-7740000</v>
      </c>
      <c r="CH44" s="94">
        <f>SUM($AN44:AP44)</f>
        <v>-9305000</v>
      </c>
      <c r="CI44" s="94">
        <f>SUM($AN44:AQ44)</f>
        <v>-9305000</v>
      </c>
      <c r="CJ44" s="94">
        <f t="shared" si="79"/>
        <v>-9305000</v>
      </c>
      <c r="CL44" s="94">
        <f t="shared" si="80"/>
        <v>-3892000</v>
      </c>
      <c r="CM44" s="94">
        <f>SUM($AT44:AU44)</f>
        <v>-4569000</v>
      </c>
      <c r="CN44" s="94">
        <f>SUM($AT44:AV44)</f>
        <v>-5116000</v>
      </c>
      <c r="CO44" s="94">
        <f>SUM($AT44:AW44)</f>
        <v>-5835000</v>
      </c>
      <c r="CP44" s="94">
        <f t="shared" si="81"/>
        <v>-5835000</v>
      </c>
      <c r="CR44" s="94">
        <f t="shared" si="82"/>
        <v>-582000</v>
      </c>
      <c r="CS44" s="94">
        <f>SUM($AZ44:BA44)</f>
        <v>-1290000</v>
      </c>
      <c r="CT44" s="94">
        <f>SUM($AZ44:BB44)</f>
        <v>-2054000</v>
      </c>
      <c r="CU44" s="94">
        <f>SUM($AZ44:BC44)</f>
        <v>-2272000</v>
      </c>
      <c r="CV44" s="94">
        <f t="shared" si="83"/>
        <v>-2272000</v>
      </c>
      <c r="CX44" s="94">
        <f t="shared" si="84"/>
        <v>-11361000</v>
      </c>
      <c r="CY44" s="94">
        <f>SUM($BF44:BG44)</f>
        <v>-12542000</v>
      </c>
      <c r="CZ44" s="94">
        <f>SUM($BF44:BH44)</f>
        <v>-14216000</v>
      </c>
      <c r="DA44" s="94">
        <f>SUM($BF44:BI44)</f>
        <v>-14626000</v>
      </c>
      <c r="DB44" s="94">
        <f t="shared" si="85"/>
        <v>-14626000</v>
      </c>
      <c r="DD44" s="94">
        <f t="shared" si="86"/>
        <v>-1827000</v>
      </c>
      <c r="DE44" s="94">
        <f>SUM($BL44:BM44)</f>
        <v>-5755000</v>
      </c>
      <c r="DF44" s="94">
        <f>SUM($BL44:BN44)</f>
        <v>-9382000</v>
      </c>
      <c r="DG44" s="94">
        <f>SUM($BL44:BO44)</f>
        <v>-9920000</v>
      </c>
      <c r="DH44" s="94">
        <f t="shared" si="87"/>
        <v>-9920000</v>
      </c>
      <c r="DJ44" s="94">
        <f t="shared" si="88"/>
        <v>-12093000</v>
      </c>
      <c r="DK44" s="94">
        <f>SUM($BR44:BS44)</f>
        <v>-13907000</v>
      </c>
      <c r="DL44" s="94">
        <f>SUM($BR44:BT44)</f>
        <v>-18057000</v>
      </c>
      <c r="DM44" s="94">
        <f>SUM($BR44:BU44)</f>
        <v>-24522000</v>
      </c>
      <c r="DN44" s="94">
        <f t="shared" si="89"/>
        <v>-24522000</v>
      </c>
      <c r="DP44" s="94">
        <f t="shared" si="90"/>
        <v>-10044000</v>
      </c>
      <c r="DQ44" s="94">
        <f>SUM($BX44:BY44)</f>
        <v>-14624000</v>
      </c>
      <c r="DR44" s="94">
        <f>SUM($BX44:BZ44)</f>
        <v>-36906000</v>
      </c>
      <c r="DS44" s="94">
        <f>SUM($BX44:CA44)</f>
        <v>-50520000</v>
      </c>
      <c r="DT44" s="94">
        <f t="shared" si="91"/>
        <v>-50520000</v>
      </c>
    </row>
    <row r="45" spans="1:124" ht="27.5" customHeight="1" x14ac:dyDescent="0.25">
      <c r="A45" s="130" t="s">
        <v>368</v>
      </c>
      <c r="B45" s="130" t="s">
        <v>368</v>
      </c>
      <c r="D45" s="83">
        <f t="shared" si="63"/>
        <v>0</v>
      </c>
      <c r="F45" s="83">
        <f t="shared" si="64"/>
        <v>0</v>
      </c>
      <c r="H45" s="83">
        <f t="shared" si="65"/>
        <v>0</v>
      </c>
      <c r="J45" s="83">
        <f t="shared" si="66"/>
        <v>0</v>
      </c>
      <c r="L45" s="83">
        <f t="shared" si="67"/>
        <v>0</v>
      </c>
      <c r="N45" s="83">
        <f t="shared" si="68"/>
        <v>0</v>
      </c>
      <c r="P45" s="198">
        <f t="shared" si="69"/>
        <v>0</v>
      </c>
      <c r="R45" s="198">
        <f t="shared" si="70"/>
        <v>0</v>
      </c>
      <c r="Z45" s="198">
        <f t="shared" si="0"/>
        <v>0</v>
      </c>
      <c r="AB45" s="198">
        <f t="shared" si="1"/>
        <v>0</v>
      </c>
      <c r="AJ45" s="253">
        <f t="shared" si="92"/>
        <v>39</v>
      </c>
      <c r="AL45" s="276"/>
      <c r="AR45" s="94">
        <f t="shared" si="71"/>
        <v>0</v>
      </c>
      <c r="AX45" s="94">
        <f t="shared" si="72"/>
        <v>0</v>
      </c>
      <c r="BD45" s="94">
        <f t="shared" si="73"/>
        <v>0</v>
      </c>
      <c r="BJ45" s="94">
        <f t="shared" si="74"/>
        <v>0</v>
      </c>
      <c r="BL45" s="94">
        <v>0</v>
      </c>
      <c r="BM45" s="94">
        <v>0</v>
      </c>
      <c r="BN45" s="94">
        <v>0</v>
      </c>
      <c r="BO45" s="94">
        <v>0</v>
      </c>
      <c r="BP45" s="94">
        <f t="shared" si="75"/>
        <v>0</v>
      </c>
      <c r="BR45" s="94">
        <v>0</v>
      </c>
      <c r="BS45" s="94">
        <v>0</v>
      </c>
      <c r="BT45" s="94">
        <v>0</v>
      </c>
      <c r="BU45" s="94">
        <v>0</v>
      </c>
      <c r="BV45" s="94">
        <f t="shared" si="76"/>
        <v>0</v>
      </c>
      <c r="BX45" s="94">
        <v>0</v>
      </c>
      <c r="BY45" s="94">
        <v>0</v>
      </c>
      <c r="BZ45" s="94">
        <v>-503393000</v>
      </c>
      <c r="CB45" s="94">
        <f t="shared" si="77"/>
        <v>-503393000</v>
      </c>
      <c r="CD45" s="167"/>
      <c r="CF45" s="94">
        <f t="shared" si="78"/>
        <v>0</v>
      </c>
      <c r="CG45" s="94">
        <f>SUM($AN45:AO45)</f>
        <v>0</v>
      </c>
      <c r="CH45" s="94">
        <f>SUM($AN45:AP45)</f>
        <v>0</v>
      </c>
      <c r="CI45" s="94">
        <f>SUM($AN45:AQ45)</f>
        <v>0</v>
      </c>
      <c r="CJ45" s="94">
        <f t="shared" si="79"/>
        <v>0</v>
      </c>
      <c r="CL45" s="94">
        <f t="shared" si="80"/>
        <v>0</v>
      </c>
      <c r="CM45" s="94">
        <f>SUM($AT45:AU45)</f>
        <v>0</v>
      </c>
      <c r="CN45" s="94">
        <f>SUM($AT45:AV45)</f>
        <v>0</v>
      </c>
      <c r="CO45" s="94">
        <f>SUM($AT45:AW45)</f>
        <v>0</v>
      </c>
      <c r="CP45" s="94">
        <f t="shared" si="81"/>
        <v>0</v>
      </c>
      <c r="CR45" s="94">
        <f t="shared" si="82"/>
        <v>0</v>
      </c>
      <c r="CS45" s="94">
        <f>SUM($AZ45:BA45)</f>
        <v>0</v>
      </c>
      <c r="CT45" s="94">
        <f>SUM($AZ45:BB45)</f>
        <v>0</v>
      </c>
      <c r="CU45" s="94">
        <f>SUM($AZ45:BC45)</f>
        <v>0</v>
      </c>
      <c r="CV45" s="94">
        <f t="shared" si="83"/>
        <v>0</v>
      </c>
      <c r="CX45" s="94">
        <f t="shared" si="84"/>
        <v>0</v>
      </c>
      <c r="CY45" s="94">
        <f>SUM($BF45:BG45)</f>
        <v>0</v>
      </c>
      <c r="CZ45" s="94">
        <f>SUM($BF45:BH45)</f>
        <v>0</v>
      </c>
      <c r="DA45" s="94">
        <f>SUM($BF45:BI45)</f>
        <v>0</v>
      </c>
      <c r="DB45" s="94">
        <f t="shared" si="85"/>
        <v>0</v>
      </c>
      <c r="DD45" s="94">
        <f t="shared" si="86"/>
        <v>0</v>
      </c>
      <c r="DE45" s="94">
        <f>SUM($BL45:BM45)</f>
        <v>0</v>
      </c>
      <c r="DF45" s="94">
        <f>SUM($BL45:BN45)</f>
        <v>0</v>
      </c>
      <c r="DG45" s="94">
        <f>SUM($BL45:BO45)</f>
        <v>0</v>
      </c>
      <c r="DH45" s="94">
        <f t="shared" si="87"/>
        <v>0</v>
      </c>
      <c r="DJ45" s="94">
        <f t="shared" si="88"/>
        <v>0</v>
      </c>
      <c r="DK45" s="94">
        <f>SUM($BR45:BS45)</f>
        <v>0</v>
      </c>
      <c r="DL45" s="94">
        <f>SUM($BR45:BT45)</f>
        <v>0</v>
      </c>
      <c r="DM45" s="94">
        <f>SUM($BR45:BU45)</f>
        <v>0</v>
      </c>
      <c r="DN45" s="94">
        <f t="shared" si="89"/>
        <v>0</v>
      </c>
      <c r="DP45" s="94">
        <f t="shared" si="90"/>
        <v>0</v>
      </c>
      <c r="DQ45" s="94">
        <f>SUM($BX45:BY45)</f>
        <v>0</v>
      </c>
      <c r="DR45" s="94">
        <f>SUM($BX45:BZ45)</f>
        <v>-503393000</v>
      </c>
      <c r="DS45" s="94">
        <f>SUM($BX45:CA45)</f>
        <v>-503393000</v>
      </c>
      <c r="DT45" s="94">
        <f t="shared" si="91"/>
        <v>-503393000</v>
      </c>
    </row>
    <row r="46" spans="1:124" ht="16.649999999999999" customHeight="1" x14ac:dyDescent="0.25">
      <c r="A46" s="130" t="s">
        <v>369</v>
      </c>
      <c r="B46" s="130" t="s">
        <v>369</v>
      </c>
      <c r="D46" s="255">
        <f t="shared" si="63"/>
        <v>-10098000</v>
      </c>
      <c r="F46" s="255">
        <f t="shared" si="64"/>
        <v>-10000000</v>
      </c>
      <c r="H46" s="255">
        <f t="shared" si="65"/>
        <v>-49906000</v>
      </c>
      <c r="J46" s="255">
        <f t="shared" si="66"/>
        <v>-75751000</v>
      </c>
      <c r="L46" s="255">
        <f t="shared" si="67"/>
        <v>-45325000</v>
      </c>
      <c r="N46" s="255">
        <f t="shared" si="68"/>
        <v>-149997000</v>
      </c>
      <c r="P46" s="198">
        <f t="shared" si="69"/>
        <v>-98000</v>
      </c>
      <c r="R46" s="198">
        <f t="shared" si="70"/>
        <v>39906000</v>
      </c>
      <c r="Z46" s="198">
        <f t="shared" si="0"/>
        <v>-30426000</v>
      </c>
      <c r="AB46" s="198">
        <f t="shared" si="1"/>
        <v>104672000</v>
      </c>
      <c r="AJ46" s="253">
        <f t="shared" si="92"/>
        <v>40</v>
      </c>
      <c r="AL46" s="276"/>
      <c r="AN46" s="157">
        <v>-15785000</v>
      </c>
      <c r="AO46" s="157">
        <v>-49868000</v>
      </c>
      <c r="AP46" s="157">
        <v>-10098000</v>
      </c>
      <c r="AR46" s="157">
        <f t="shared" si="71"/>
        <v>-75751000</v>
      </c>
      <c r="AT46" s="157">
        <v>-20203000</v>
      </c>
      <c r="AU46" s="157">
        <v>-15122000</v>
      </c>
      <c r="AV46" s="157">
        <v>-10000000</v>
      </c>
      <c r="AW46" s="157">
        <v>-15177000</v>
      </c>
      <c r="AX46" s="157">
        <f t="shared" si="72"/>
        <v>-60502000</v>
      </c>
      <c r="AZ46" s="157">
        <v>-60053000</v>
      </c>
      <c r="BA46" s="157">
        <v>-40038000</v>
      </c>
      <c r="BB46" s="157">
        <v>-49906000</v>
      </c>
      <c r="BD46" s="157">
        <f t="shared" si="73"/>
        <v>-149997000</v>
      </c>
      <c r="BF46" s="157">
        <v>-29077000</v>
      </c>
      <c r="BG46" s="157">
        <v>-15000000</v>
      </c>
      <c r="BH46" s="157">
        <v>-5147000</v>
      </c>
      <c r="BI46" s="157">
        <v>-9397000</v>
      </c>
      <c r="BJ46" s="157">
        <f t="shared" si="74"/>
        <v>-58621000</v>
      </c>
      <c r="BL46" s="157">
        <v>-42312000</v>
      </c>
      <c r="BM46" s="157">
        <v>0</v>
      </c>
      <c r="BN46" s="157">
        <v>0</v>
      </c>
      <c r="BO46" s="157">
        <v>0</v>
      </c>
      <c r="BP46" s="157">
        <f t="shared" si="75"/>
        <v>-42312000</v>
      </c>
      <c r="BR46" s="157">
        <v>-20099000</v>
      </c>
      <c r="BS46" s="157">
        <v>-80374000</v>
      </c>
      <c r="BT46" s="157">
        <v>-20715000</v>
      </c>
      <c r="BU46" s="157">
        <v>-61002000</v>
      </c>
      <c r="BV46" s="157">
        <f t="shared" si="76"/>
        <v>-182190000</v>
      </c>
      <c r="BX46" s="157">
        <v>-45766000</v>
      </c>
      <c r="BY46" s="157">
        <v>0</v>
      </c>
      <c r="BZ46" s="157">
        <v>-18341000</v>
      </c>
      <c r="CA46" s="157">
        <v>-10314000</v>
      </c>
      <c r="CB46" s="157">
        <f t="shared" si="77"/>
        <v>-74421000</v>
      </c>
      <c r="CD46" s="167"/>
      <c r="CF46" s="157">
        <f t="shared" si="78"/>
        <v>-15785000</v>
      </c>
      <c r="CG46" s="157">
        <f>SUM($AN46:AO46)</f>
        <v>-65653000</v>
      </c>
      <c r="CH46" s="157">
        <f>SUM($AN46:AP46)</f>
        <v>-75751000</v>
      </c>
      <c r="CI46" s="157">
        <f>SUM($AN46:AQ46)</f>
        <v>-75751000</v>
      </c>
      <c r="CJ46" s="157">
        <f t="shared" si="79"/>
        <v>-75751000</v>
      </c>
      <c r="CL46" s="157">
        <f t="shared" si="80"/>
        <v>-20203000</v>
      </c>
      <c r="CM46" s="157">
        <f>SUM($AT46:AU46)</f>
        <v>-35325000</v>
      </c>
      <c r="CN46" s="157">
        <f>SUM($AT46:AV46)</f>
        <v>-45325000</v>
      </c>
      <c r="CO46" s="157">
        <f>SUM($AT46:AW46)</f>
        <v>-60502000</v>
      </c>
      <c r="CP46" s="157">
        <f t="shared" si="81"/>
        <v>-60502000</v>
      </c>
      <c r="CR46" s="94">
        <f t="shared" si="82"/>
        <v>-60053000</v>
      </c>
      <c r="CS46" s="94">
        <f>SUM($AZ46:BA46)</f>
        <v>-100091000</v>
      </c>
      <c r="CT46" s="94">
        <f>SUM($AZ46:BB46)</f>
        <v>-149997000</v>
      </c>
      <c r="CU46" s="94">
        <f>SUM($AZ46:BC46)</f>
        <v>-149997000</v>
      </c>
      <c r="CV46" s="94">
        <f t="shared" si="83"/>
        <v>-149997000</v>
      </c>
      <c r="CX46" s="157">
        <f t="shared" si="84"/>
        <v>-29077000</v>
      </c>
      <c r="CY46" s="157">
        <f>SUM($BF46:BG46)</f>
        <v>-44077000</v>
      </c>
      <c r="CZ46" s="157">
        <f>SUM($BF46:BH46)</f>
        <v>-49224000</v>
      </c>
      <c r="DA46" s="157">
        <f>SUM($BF46:BI46)</f>
        <v>-58621000</v>
      </c>
      <c r="DB46" s="157">
        <f t="shared" si="85"/>
        <v>-58621000</v>
      </c>
      <c r="DD46" s="157">
        <f t="shared" si="86"/>
        <v>-42312000</v>
      </c>
      <c r="DE46" s="157">
        <f>SUM($BL46:BM46)</f>
        <v>-42312000</v>
      </c>
      <c r="DF46" s="157">
        <f>SUM($BL46:BN46)</f>
        <v>-42312000</v>
      </c>
      <c r="DG46" s="157">
        <f>SUM($BL46:BO46)</f>
        <v>-42312000</v>
      </c>
      <c r="DH46" s="157">
        <f t="shared" si="87"/>
        <v>-42312000</v>
      </c>
      <c r="DJ46" s="157">
        <f t="shared" si="88"/>
        <v>-20099000</v>
      </c>
      <c r="DK46" s="157">
        <f>SUM($BR46:BS46)</f>
        <v>-100473000</v>
      </c>
      <c r="DL46" s="157">
        <f>SUM($BR46:BT46)</f>
        <v>-121188000</v>
      </c>
      <c r="DM46" s="157">
        <f>SUM($BR46:BU46)</f>
        <v>-182190000</v>
      </c>
      <c r="DN46" s="157">
        <f t="shared" si="89"/>
        <v>-182190000</v>
      </c>
      <c r="DP46" s="157">
        <f t="shared" si="90"/>
        <v>-45766000</v>
      </c>
      <c r="DQ46" s="157">
        <f>SUM($BX46:BY46)</f>
        <v>-45766000</v>
      </c>
      <c r="DR46" s="157">
        <f>SUM($BX46:BZ46)</f>
        <v>-64107000</v>
      </c>
      <c r="DS46" s="157">
        <f>SUM($BX46:CA46)</f>
        <v>-74421000</v>
      </c>
      <c r="DT46" s="157">
        <f t="shared" si="91"/>
        <v>-74421000</v>
      </c>
    </row>
    <row r="47" spans="1:124" ht="27.5" customHeight="1" x14ac:dyDescent="0.25">
      <c r="A47" s="256" t="str">
        <f>IF(T47=V47,T47,"Net cash provided by (used in) investing activities")</f>
        <v>Net cash used in financing activities</v>
      </c>
      <c r="B47" s="256" t="str">
        <f>IF(AD47=AF47,AD47,"Net cash provided by (used in) investing activities")</f>
        <v>Net cash used in financing activities</v>
      </c>
      <c r="D47" s="257">
        <f>SUM(D41:D46)</f>
        <v>-9359000</v>
      </c>
      <c r="F47" s="257">
        <f>SUM(F41:F46)</f>
        <v>-8901000</v>
      </c>
      <c r="H47" s="257">
        <f>SUM(H41:H46)</f>
        <v>-49006000</v>
      </c>
      <c r="J47" s="257">
        <f>SUM(J41:J46)</f>
        <v>-76425000</v>
      </c>
      <c r="L47" s="257">
        <f>SUM(L41:L46)</f>
        <v>-43220000</v>
      </c>
      <c r="N47" s="257">
        <f>SUM(N41:N46)</f>
        <v>-145796000</v>
      </c>
      <c r="P47" s="198">
        <f t="shared" si="69"/>
        <v>-458000</v>
      </c>
      <c r="R47" s="198">
        <f t="shared" si="70"/>
        <v>40105000</v>
      </c>
      <c r="T47" s="54" t="str">
        <f>IF(D47&gt;0,"Net cash provided by financing activities","Net cash used in financing activities")</f>
        <v>Net cash used in financing activities</v>
      </c>
      <c r="V47" s="54" t="str">
        <f>IF(F47&gt;0,"Net cash provided by financing activities","Net cash used in financing activities")</f>
        <v>Net cash used in financing activities</v>
      </c>
      <c r="X47" s="54" t="str">
        <f>IF(H47&gt;0,"Net cash provided by financing activities","Net cash used in financing activities")</f>
        <v>Net cash used in financing activities</v>
      </c>
      <c r="Z47" s="198">
        <f t="shared" si="0"/>
        <v>-33205000</v>
      </c>
      <c r="AB47" s="198">
        <f t="shared" si="1"/>
        <v>102576000</v>
      </c>
      <c r="AD47" s="54" t="str">
        <f>IF(J47&gt;0,"Net cash provided by financing activities","Net cash used in financing activities")</f>
        <v>Net cash used in financing activities</v>
      </c>
      <c r="AF47" s="54" t="str">
        <f>IF(L47&gt;0,"Net cash provided by financing activities","Net cash used in financing activities")</f>
        <v>Net cash used in financing activities</v>
      </c>
      <c r="AH47" s="54" t="str">
        <f>IF(N47&gt;0,"Net cash provided by financing activities","Net cash used in financing activities")</f>
        <v>Net cash used in financing activities</v>
      </c>
      <c r="AJ47" s="253">
        <f t="shared" si="92"/>
        <v>41</v>
      </c>
      <c r="AL47" s="276"/>
      <c r="AN47" s="159">
        <f>SUM(AN41:AN46)</f>
        <v>-16465000</v>
      </c>
      <c r="AO47" s="159">
        <f>SUM(AO41:AO46)</f>
        <v>-50601000</v>
      </c>
      <c r="AP47" s="159">
        <f>SUM(AP41:AP46)</f>
        <v>-9359000</v>
      </c>
      <c r="AQ47" s="159">
        <f>SUM(AQ41:AQ46)</f>
        <v>0</v>
      </c>
      <c r="AR47" s="159">
        <f>SUM(AR41:AR46)</f>
        <v>-76425000</v>
      </c>
      <c r="AT47" s="159">
        <f>SUM(AT41:AT46)</f>
        <v>-18522000</v>
      </c>
      <c r="AU47" s="159">
        <f>SUM(AU41:AU46)</f>
        <v>-15797000</v>
      </c>
      <c r="AV47" s="159">
        <f>SUM(AV41:AV46)</f>
        <v>-8901000</v>
      </c>
      <c r="AW47" s="159">
        <f>SUM(AW41:AW46)</f>
        <v>-15895000</v>
      </c>
      <c r="AX47" s="159">
        <f>SUM(AX41:AX46)</f>
        <v>-59115000</v>
      </c>
      <c r="AZ47" s="159">
        <f>SUM(AZ41:AZ46)</f>
        <v>-56046000</v>
      </c>
      <c r="BA47" s="159">
        <f>SUM(BA41:BA46)</f>
        <v>-40744000</v>
      </c>
      <c r="BB47" s="159">
        <f>SUM(BB41:BB46)</f>
        <v>-49006000</v>
      </c>
      <c r="BC47" s="159">
        <f>SUM(BC41:BC46)</f>
        <v>-214000</v>
      </c>
      <c r="BD47" s="159">
        <f>SUM(BD41:BD46)</f>
        <v>-146010000</v>
      </c>
      <c r="BF47" s="159">
        <f>SUM(BF41:BF46)</f>
        <v>-37157000</v>
      </c>
      <c r="BG47" s="159">
        <f>SUM(BG41:BG46)</f>
        <v>-15184000</v>
      </c>
      <c r="BH47" s="159">
        <f>SUM(BH41:BH46)</f>
        <v>-4916000</v>
      </c>
      <c r="BI47" s="159">
        <f>SUM(BI41:BI46)</f>
        <v>-9724000</v>
      </c>
      <c r="BJ47" s="159">
        <f>SUM(BJ41:BJ46)</f>
        <v>-66981000</v>
      </c>
      <c r="BL47" s="159">
        <f>SUM(BL41:BL46)</f>
        <v>-43002000</v>
      </c>
      <c r="BM47" s="159">
        <f>SUM(BM41:BM46)</f>
        <v>-1504000</v>
      </c>
      <c r="BN47" s="159">
        <f>SUM(BN41:BN46)</f>
        <v>1488000</v>
      </c>
      <c r="BO47" s="159">
        <f>SUM(BO41:BO46)</f>
        <v>-477000</v>
      </c>
      <c r="BP47" s="159">
        <f>SUM(BP41:BP46)</f>
        <v>-43495000</v>
      </c>
      <c r="BR47" s="159">
        <f>SUM(BR41:BR46)</f>
        <v>-31132000</v>
      </c>
      <c r="BS47" s="159">
        <f>SUM(BS41:BS46)</f>
        <v>-81156000</v>
      </c>
      <c r="BT47" s="159">
        <f>SUM(BT41:BT46)</f>
        <v>-23552000</v>
      </c>
      <c r="BU47" s="159">
        <f>SUM(BU41:BU46)</f>
        <v>-66136000</v>
      </c>
      <c r="BV47" s="159">
        <f>SUM(BV41:BV46)</f>
        <v>-201976000</v>
      </c>
      <c r="BX47" s="159">
        <f>SUM(BX41:BX46)</f>
        <v>-52586000</v>
      </c>
      <c r="BY47" s="159">
        <f>SUM(BY41:BY46)</f>
        <v>-3276000</v>
      </c>
      <c r="BZ47" s="159">
        <f>SUM(BZ41:BZ46)</f>
        <v>-764782000</v>
      </c>
      <c r="CA47" s="159">
        <f>SUM(CA41:CA46)</f>
        <v>-20864000</v>
      </c>
      <c r="CB47" s="159">
        <f>SUM(CB41:CB46)</f>
        <v>-841508000</v>
      </c>
      <c r="CD47" s="172"/>
      <c r="CF47" s="159">
        <f t="shared" si="78"/>
        <v>-16465000</v>
      </c>
      <c r="CG47" s="159">
        <f>SUM($AN47:AO47)</f>
        <v>-67066000</v>
      </c>
      <c r="CH47" s="159">
        <f>SUM($AN47:AP47)</f>
        <v>-76425000</v>
      </c>
      <c r="CI47" s="159">
        <f>SUM($AN47:AQ47)</f>
        <v>-76425000</v>
      </c>
      <c r="CJ47" s="159">
        <f t="shared" si="79"/>
        <v>-76425000</v>
      </c>
      <c r="CL47" s="159">
        <f t="shared" si="80"/>
        <v>-18522000</v>
      </c>
      <c r="CM47" s="159">
        <f>SUM($AT47:AU47)</f>
        <v>-34319000</v>
      </c>
      <c r="CN47" s="159">
        <f>SUM($AT47:AV47)</f>
        <v>-43220000</v>
      </c>
      <c r="CO47" s="159">
        <f>SUM($AT47:AW47)</f>
        <v>-59115000</v>
      </c>
      <c r="CP47" s="159">
        <f t="shared" si="81"/>
        <v>-59115000</v>
      </c>
      <c r="CR47" s="157">
        <f>SUM(CR41:CR46)</f>
        <v>-56046000</v>
      </c>
      <c r="CS47" s="157">
        <f>SUM(CS41:CS46)</f>
        <v>-96790000</v>
      </c>
      <c r="CT47" s="157">
        <f>SUM(CT41:CT46)</f>
        <v>-145796000</v>
      </c>
      <c r="CU47" s="157">
        <f>SUM(CU41:CU46)</f>
        <v>-146010000</v>
      </c>
      <c r="CV47" s="157">
        <f>SUM(CV41:CV46)</f>
        <v>-146010000</v>
      </c>
      <c r="CX47" s="159">
        <f>SUM(CX41:CX46)</f>
        <v>-37157000</v>
      </c>
      <c r="CY47" s="159">
        <f>SUM(CY41:CY46)</f>
        <v>-52341000</v>
      </c>
      <c r="CZ47" s="159">
        <f>SUM(CZ41:CZ46)</f>
        <v>-57257000</v>
      </c>
      <c r="DA47" s="159">
        <f>SUM(DA41:DA46)</f>
        <v>-66981000</v>
      </c>
      <c r="DB47" s="159">
        <f>SUM(DB41:DB46)</f>
        <v>-66981000</v>
      </c>
      <c r="DD47" s="159">
        <f>SUM(DD41:DD46)</f>
        <v>-43002000</v>
      </c>
      <c r="DE47" s="159">
        <f>SUM(DE41:DE46)</f>
        <v>-44506000</v>
      </c>
      <c r="DF47" s="159">
        <f>SUM(DF41:DF46)</f>
        <v>-43018000</v>
      </c>
      <c r="DG47" s="159">
        <f>SUM(DG41:DG46)</f>
        <v>-43495000</v>
      </c>
      <c r="DH47" s="159">
        <f>SUM(DH41:DH46)</f>
        <v>-43495000</v>
      </c>
      <c r="DJ47" s="159">
        <f>SUM(DJ41:DJ46)</f>
        <v>-31132000</v>
      </c>
      <c r="DK47" s="159">
        <f>SUM(DK41:DK46)</f>
        <v>-112288000</v>
      </c>
      <c r="DL47" s="159">
        <f>SUM(DL41:DL46)</f>
        <v>-135840000</v>
      </c>
      <c r="DM47" s="159">
        <f>SUM(DM41:DM46)</f>
        <v>-201976000</v>
      </c>
      <c r="DN47" s="159">
        <f>SUM(DN41:DN46)</f>
        <v>-201976000</v>
      </c>
      <c r="DP47" s="159">
        <f>SUM(DP41:DP46)</f>
        <v>-52586000</v>
      </c>
      <c r="DQ47" s="159">
        <f>SUM(DQ41:DQ46)</f>
        <v>-55862000</v>
      </c>
      <c r="DR47" s="159">
        <f>SUM(DR41:DR46)</f>
        <v>-820644000</v>
      </c>
      <c r="DS47" s="159">
        <f>SUM(DS41:DS46)</f>
        <v>-841508000</v>
      </c>
      <c r="DT47" s="159">
        <f>SUM(DT41:DT46)</f>
        <v>-841508000</v>
      </c>
    </row>
    <row r="48" spans="1:124" ht="27.5" customHeight="1" x14ac:dyDescent="0.25">
      <c r="A48" s="256" t="str">
        <f>IF(T48=V48,T48,"Net cash provided by (used in) continuing operations")</f>
        <v>Net cash provided by continuing operations</v>
      </c>
      <c r="B48" s="256" t="str">
        <f>IF(AD48=AF48,AD48,"Net cash provided by (used in) continuing operations")</f>
        <v>Net cash provided by continuing operations</v>
      </c>
      <c r="D48" s="257">
        <f>+D28+D39+D47</f>
        <v>34519000</v>
      </c>
      <c r="F48" s="257">
        <f>+F28+F39+F47</f>
        <v>5444000</v>
      </c>
      <c r="H48" s="257">
        <f>+H28+H39+H47</f>
        <v>-33915000</v>
      </c>
      <c r="J48" s="257">
        <f>+J28+J39+J47</f>
        <v>35882000</v>
      </c>
      <c r="L48" s="257">
        <f>+L28+L39+L47</f>
        <v>32694000</v>
      </c>
      <c r="N48" s="257">
        <f>+N28+N39+N47</f>
        <v>-146713000</v>
      </c>
      <c r="P48" s="198">
        <f t="shared" si="69"/>
        <v>29075000</v>
      </c>
      <c r="R48" s="198">
        <f t="shared" si="70"/>
        <v>39359000</v>
      </c>
      <c r="T48" s="54" t="str">
        <f>IF(D48&gt;0,"Net cash provided by continuing operations","Net cash used in continuing operations")</f>
        <v>Net cash provided by continuing operations</v>
      </c>
      <c r="V48" s="54" t="str">
        <f>IF(F48&gt;0,"Net cash provided by continuing operations","Net cash used in continuing operations")</f>
        <v>Net cash provided by continuing operations</v>
      </c>
      <c r="X48" s="54" t="str">
        <f>IF(H48&gt;0,"Net cash provided by continuing operations","Net cash used in continuing operations")</f>
        <v>Net cash used in continuing operations</v>
      </c>
      <c r="Z48" s="198">
        <f t="shared" si="0"/>
        <v>3188000</v>
      </c>
      <c r="AB48" s="198">
        <f t="shared" si="1"/>
        <v>179407000</v>
      </c>
      <c r="AD48" s="54" t="str">
        <f>IF(J48&gt;0,"Net cash provided by continuing operations","Net cash used in continuing operations")</f>
        <v>Net cash provided by continuing operations</v>
      </c>
      <c r="AF48" s="54" t="str">
        <f>IF(L48&gt;0,"Net cash provided by continuing operations","Net cash used in continuing operations")</f>
        <v>Net cash provided by continuing operations</v>
      </c>
      <c r="AH48" s="54" t="str">
        <f>IF(N48&gt;0,"Net cash provided by continuing operations","Net cash used in continuing operations")</f>
        <v>Net cash used in continuing operations</v>
      </c>
      <c r="AJ48" s="253">
        <f t="shared" si="92"/>
        <v>42</v>
      </c>
      <c r="AL48" s="240"/>
      <c r="AN48" s="159">
        <f>+AN28+AN39+AN47</f>
        <v>-26386000</v>
      </c>
      <c r="AO48" s="159">
        <f>+AO28+AO39+AO47</f>
        <v>27749000</v>
      </c>
      <c r="AP48" s="159">
        <f>+AP28+AP39+AP47</f>
        <v>34519000</v>
      </c>
      <c r="AQ48" s="159">
        <f>+AQ28+AQ39+AQ47</f>
        <v>0</v>
      </c>
      <c r="AR48" s="159">
        <f>+AR28+AR39+AR47</f>
        <v>35882000</v>
      </c>
      <c r="AT48" s="159">
        <f>+AT28+AT39+AT47</f>
        <v>6618000</v>
      </c>
      <c r="AU48" s="159">
        <f>+AU28+AU39+AU47</f>
        <v>20632000</v>
      </c>
      <c r="AV48" s="159">
        <f>+AV28+AV39+AV47</f>
        <v>5444000</v>
      </c>
      <c r="AW48" s="159">
        <f>+AW28+AW39+AW47</f>
        <v>-159833000</v>
      </c>
      <c r="AX48" s="159">
        <f>+AX28+AX39+AX47</f>
        <v>-127139000</v>
      </c>
      <c r="AZ48" s="159">
        <f>+AZ28+AZ39+AZ47</f>
        <v>-91156000</v>
      </c>
      <c r="BA48" s="159">
        <f>+BA28+BA39+BA47</f>
        <v>-21642000</v>
      </c>
      <c r="BB48" s="159">
        <f>+BB28+BB39+BB47</f>
        <v>-33915000</v>
      </c>
      <c r="BC48" s="159">
        <f>+BC28+BC39+BC47</f>
        <v>6145000</v>
      </c>
      <c r="BD48" s="159">
        <f>+BD28+BD39+BD47</f>
        <v>-140568000</v>
      </c>
      <c r="BF48" s="159">
        <f>+BF28+BF39+BF47</f>
        <v>-32193000</v>
      </c>
      <c r="BG48" s="159">
        <f>+BG28+BG39+BG47</f>
        <v>-5159000</v>
      </c>
      <c r="BH48" s="159">
        <f>+BH28+BH39+BH47</f>
        <v>17417000</v>
      </c>
      <c r="BI48" s="159">
        <f>+BI28+BI39+BI47</f>
        <v>38609000</v>
      </c>
      <c r="BJ48" s="159">
        <f>+BJ28+BJ39+BJ47</f>
        <v>18674000</v>
      </c>
      <c r="BL48" s="159">
        <f>+BL28+BL39+BL47</f>
        <v>-68113000</v>
      </c>
      <c r="BM48" s="159">
        <f>+BM28+BM39+BM47</f>
        <v>310000</v>
      </c>
      <c r="BN48" s="159">
        <f>+BN28+BN39+BN47</f>
        <v>-2642000</v>
      </c>
      <c r="BO48" s="159">
        <f>+BO28+BO39+BO47</f>
        <v>-81504000</v>
      </c>
      <c r="BP48" s="159">
        <f>+BP28+BP39+BP47</f>
        <v>-151949000</v>
      </c>
      <c r="BR48" s="159">
        <f>+BR28+BR39+BR47</f>
        <v>-55907000</v>
      </c>
      <c r="BS48" s="159">
        <f>+BS28+BS39+BS47</f>
        <v>-212917000</v>
      </c>
      <c r="BT48" s="159">
        <f>+BT28+BT39+BT47</f>
        <v>-10521000</v>
      </c>
      <c r="BU48" s="159">
        <f>+BU28+BU39+BU47</f>
        <v>-67409000</v>
      </c>
      <c r="BV48" s="159">
        <f>+BV28+BV39+BV47</f>
        <v>-346754000</v>
      </c>
      <c r="BX48" s="159">
        <f>+BX28+BX39+BX47</f>
        <v>-58977000</v>
      </c>
      <c r="BY48" s="159">
        <f>+BY28+BY39+BY47</f>
        <v>-32152000</v>
      </c>
      <c r="BZ48" s="159">
        <f>+BZ28+BZ39+BZ47</f>
        <v>-777642000</v>
      </c>
      <c r="CA48" s="159">
        <f>+CA28+CA39+CA47</f>
        <v>14143000</v>
      </c>
      <c r="CB48" s="159">
        <f>+CB28+CB39+CB47</f>
        <v>-854628000</v>
      </c>
      <c r="CD48" s="167"/>
      <c r="CF48" s="159">
        <f>+CF28+CF39+CF47</f>
        <v>-26386000</v>
      </c>
      <c r="CG48" s="159">
        <f>+CG28+CG39+CG47</f>
        <v>1363000</v>
      </c>
      <c r="CH48" s="159">
        <f>+CH28+CH39+CH47</f>
        <v>35882000</v>
      </c>
      <c r="CI48" s="159">
        <f>+CI28+CI39+CI47</f>
        <v>35882000</v>
      </c>
      <c r="CJ48" s="159">
        <f>+CJ28+CJ39+CJ47</f>
        <v>35882000</v>
      </c>
      <c r="CL48" s="159">
        <f>+CL28+CL39+CL47</f>
        <v>6618000</v>
      </c>
      <c r="CM48" s="159">
        <f>+CM28+CM39+CM47</f>
        <v>27250000</v>
      </c>
      <c r="CN48" s="159">
        <f>+CN28+CN39+CN47</f>
        <v>32694000</v>
      </c>
      <c r="CO48" s="159">
        <f>+CO28+CO39+CO47</f>
        <v>-127139000</v>
      </c>
      <c r="CP48" s="159">
        <f>+CP28+CP39+CP47</f>
        <v>-127139000</v>
      </c>
      <c r="CR48" s="159">
        <f>+CR28+CR39+CR47</f>
        <v>-91156000</v>
      </c>
      <c r="CS48" s="159">
        <f>+CS28+CS39+CS47</f>
        <v>-112798000</v>
      </c>
      <c r="CT48" s="159">
        <f>+CT28+CT39+CT47</f>
        <v>-146713000</v>
      </c>
      <c r="CU48" s="159">
        <f>+CU28+CU39+CU47</f>
        <v>-140568000</v>
      </c>
      <c r="CV48" s="159">
        <f>+CV28+CV39+CV47</f>
        <v>-140568000</v>
      </c>
      <c r="CX48" s="159">
        <f>+CX28+CX39+CX47</f>
        <v>-32193000</v>
      </c>
      <c r="CY48" s="159">
        <f>+CY28+CY39+CY47</f>
        <v>-37352000</v>
      </c>
      <c r="CZ48" s="159">
        <f>+CZ28+CZ39+CZ47</f>
        <v>-19935000</v>
      </c>
      <c r="DA48" s="159">
        <f>+DA28+DA39+DA47</f>
        <v>18674000</v>
      </c>
      <c r="DB48" s="159">
        <f>+DB28+DB39+DB47</f>
        <v>18674000</v>
      </c>
      <c r="DD48" s="159">
        <f>+DD28+DD39+DD47</f>
        <v>-68113000</v>
      </c>
      <c r="DE48" s="159">
        <f>+DE28+DE39+DE47</f>
        <v>-67803000</v>
      </c>
      <c r="DF48" s="159">
        <f>+DF28+DF39+DF47</f>
        <v>-70445000</v>
      </c>
      <c r="DG48" s="159">
        <f>+DG28+DG39+DG47</f>
        <v>-151949000</v>
      </c>
      <c r="DH48" s="159">
        <f>+DH28+DH39+DH47</f>
        <v>-151949000</v>
      </c>
      <c r="DJ48" s="159">
        <f>+DJ28+DJ39+DJ47</f>
        <v>-55907000</v>
      </c>
      <c r="DK48" s="159">
        <f>+DK28+DK39+DK47</f>
        <v>-268824000</v>
      </c>
      <c r="DL48" s="159">
        <f>+DL28+DL39+DL47</f>
        <v>-279345000</v>
      </c>
      <c r="DM48" s="159">
        <f>+DM28+DM39+DM47</f>
        <v>-346754000</v>
      </c>
      <c r="DN48" s="159">
        <f>+DN28+DN39+DN47</f>
        <v>-346754000</v>
      </c>
      <c r="DP48" s="159">
        <f>+DP28+DP39+DP47</f>
        <v>-58977000</v>
      </c>
      <c r="DQ48" s="159">
        <f>+DQ28+DQ39+DQ47</f>
        <v>-91129000</v>
      </c>
      <c r="DR48" s="159">
        <f>+DR28+DR39+DR47</f>
        <v>-868771000</v>
      </c>
      <c r="DS48" s="159">
        <f>+DS28+DS39+DS47</f>
        <v>-854628000</v>
      </c>
      <c r="DT48" s="159">
        <f>+DT28+DT39+DT47</f>
        <v>-854628000</v>
      </c>
    </row>
    <row r="49" spans="1:124" ht="16.649999999999999" customHeight="1" x14ac:dyDescent="0.25">
      <c r="D49" s="50"/>
      <c r="F49" s="50"/>
      <c r="H49" s="50"/>
      <c r="J49" s="50"/>
      <c r="L49" s="50"/>
      <c r="N49" s="50"/>
      <c r="AJ49" s="253">
        <f t="shared" si="92"/>
        <v>43</v>
      </c>
      <c r="AL49" s="240"/>
      <c r="AN49" s="102"/>
      <c r="AO49" s="102"/>
      <c r="AP49" s="102"/>
      <c r="AQ49" s="102"/>
      <c r="AR49" s="102"/>
      <c r="AT49" s="102"/>
      <c r="AU49" s="102"/>
      <c r="AV49" s="102"/>
      <c r="AW49" s="102"/>
      <c r="AX49" s="102"/>
      <c r="AZ49" s="102"/>
      <c r="BA49" s="102"/>
      <c r="BB49" s="102"/>
      <c r="BC49" s="102"/>
      <c r="BD49" s="102"/>
      <c r="BF49" s="102"/>
      <c r="BG49" s="102"/>
      <c r="BH49" s="102"/>
      <c r="BI49" s="102"/>
      <c r="BJ49" s="102"/>
      <c r="BL49" s="102"/>
      <c r="BM49" s="102"/>
      <c r="BN49" s="102"/>
      <c r="BO49" s="102"/>
      <c r="BP49" s="102"/>
      <c r="BR49" s="102"/>
      <c r="BS49" s="102"/>
      <c r="BT49" s="102"/>
      <c r="BU49" s="102"/>
      <c r="BV49" s="102"/>
      <c r="BX49" s="102"/>
      <c r="BY49" s="102"/>
      <c r="BZ49" s="102"/>
      <c r="CA49" s="102"/>
      <c r="CB49" s="102"/>
      <c r="CD49" s="167"/>
      <c r="CF49" s="102"/>
      <c r="CG49" s="102"/>
      <c r="CH49" s="102"/>
      <c r="CI49" s="102"/>
      <c r="CJ49" s="102"/>
      <c r="CL49" s="102"/>
      <c r="CM49" s="102"/>
      <c r="CN49" s="102"/>
      <c r="CO49" s="102"/>
      <c r="CP49" s="102"/>
      <c r="CR49" s="102"/>
      <c r="CS49" s="102"/>
      <c r="CT49" s="102"/>
      <c r="CU49" s="102"/>
      <c r="CV49" s="102"/>
      <c r="CX49" s="102"/>
      <c r="CY49" s="102"/>
      <c r="CZ49" s="102"/>
      <c r="DA49" s="102"/>
      <c r="DB49" s="102"/>
      <c r="DD49" s="102"/>
      <c r="DE49" s="102"/>
      <c r="DF49" s="102"/>
      <c r="DG49" s="102"/>
      <c r="DH49" s="102"/>
      <c r="DJ49" s="102"/>
      <c r="DK49" s="102"/>
      <c r="DL49" s="102"/>
      <c r="DM49" s="102"/>
      <c r="DN49" s="102"/>
      <c r="DP49" s="102"/>
      <c r="DQ49" s="102"/>
      <c r="DR49" s="102"/>
      <c r="DS49" s="102"/>
      <c r="DT49" s="102"/>
    </row>
    <row r="50" spans="1:124" ht="15.75" customHeight="1" x14ac:dyDescent="0.25">
      <c r="AJ50" s="253">
        <f t="shared" si="92"/>
        <v>44</v>
      </c>
      <c r="AL50" s="240"/>
      <c r="CD50" s="167"/>
    </row>
    <row r="51" spans="1:124" ht="19.149999999999999" customHeight="1" x14ac:dyDescent="0.25">
      <c r="A51" s="16" t="s">
        <v>370</v>
      </c>
      <c r="AJ51" s="253">
        <f t="shared" si="92"/>
        <v>45</v>
      </c>
      <c r="AL51" s="240"/>
      <c r="CD51" s="167"/>
    </row>
    <row r="52" spans="1:124" ht="15.75" customHeight="1" x14ac:dyDescent="0.25">
      <c r="A52" s="19"/>
      <c r="AJ52" s="253">
        <f t="shared" si="92"/>
        <v>46</v>
      </c>
      <c r="AL52" s="240"/>
      <c r="CD52" s="167"/>
    </row>
    <row r="53" spans="1:124" ht="27.5" customHeight="1" x14ac:dyDescent="0.25">
      <c r="A53" s="22" t="s">
        <v>371</v>
      </c>
      <c r="B53" s="22" t="s">
        <v>371</v>
      </c>
      <c r="P53" s="198">
        <f t="shared" ref="P53:P63" si="93">+D53-F53</f>
        <v>0</v>
      </c>
      <c r="R53" s="198">
        <f t="shared" ref="R53:R63" si="94">+F53-H53</f>
        <v>0</v>
      </c>
      <c r="Z53" s="198">
        <f t="shared" ref="Z53:Z80" si="95">+J53-L53</f>
        <v>0</v>
      </c>
      <c r="AB53" s="198">
        <f t="shared" ref="AB53:AB80" si="96">+L53-N53</f>
        <v>0</v>
      </c>
      <c r="AJ53" s="253">
        <f t="shared" si="92"/>
        <v>47</v>
      </c>
      <c r="AL53" s="240"/>
      <c r="CD53" s="167"/>
    </row>
    <row r="54" spans="1:124" ht="16.649999999999999" customHeight="1" x14ac:dyDescent="0.25">
      <c r="A54" s="130" t="s">
        <v>372</v>
      </c>
      <c r="B54" s="130" t="s">
        <v>372</v>
      </c>
      <c r="D54" s="83">
        <f>HLOOKUP(D$7,$AL$7:$CD$75,$AJ54,FALSE)</f>
        <v>2486000</v>
      </c>
      <c r="F54" s="83">
        <f>HLOOKUP(F$7,$AL$7:$CD$75,$AJ54,FALSE)</f>
        <v>598000</v>
      </c>
      <c r="H54" s="83">
        <f>HLOOKUP(H$7,$AL$7:$CD$75,$AJ54,FALSE)</f>
        <v>836000</v>
      </c>
      <c r="J54" s="83">
        <f>HLOOKUP(J$7,$CD$7:$DU$75,$AJ54,FALSE)</f>
        <v>2486000</v>
      </c>
      <c r="L54" s="83">
        <f>HLOOKUP(L$7,$CD$7:$DU$75,$AJ54,FALSE)</f>
        <v>985000</v>
      </c>
      <c r="N54" s="83">
        <f>HLOOKUP(N$7,$CD$7:$DU$75,$AJ54,FALSE)</f>
        <v>836000</v>
      </c>
      <c r="P54" s="198">
        <f t="shared" si="93"/>
        <v>1888000</v>
      </c>
      <c r="R54" s="198">
        <f t="shared" si="94"/>
        <v>-238000</v>
      </c>
      <c r="Z54" s="198">
        <f t="shared" si="95"/>
        <v>1501000</v>
      </c>
      <c r="AB54" s="198">
        <f t="shared" si="96"/>
        <v>149000</v>
      </c>
      <c r="AJ54" s="253">
        <f t="shared" si="92"/>
        <v>48</v>
      </c>
      <c r="AL54" s="276"/>
      <c r="AO54" s="94">
        <v>0</v>
      </c>
      <c r="AP54" s="94">
        <v>2486000</v>
      </c>
      <c r="AR54" s="94">
        <f>SUM(AN54:AQ54)</f>
        <v>2486000</v>
      </c>
      <c r="AT54" s="94">
        <v>0</v>
      </c>
      <c r="AU54" s="94">
        <v>387000</v>
      </c>
      <c r="AV54" s="94">
        <v>598000</v>
      </c>
      <c r="AW54" s="94">
        <v>805000</v>
      </c>
      <c r="AX54" s="94">
        <f>SUM(AT54:AW54)</f>
        <v>1790000</v>
      </c>
      <c r="AZ54" s="94">
        <v>0</v>
      </c>
      <c r="BA54" s="94">
        <v>0</v>
      </c>
      <c r="BB54" s="94">
        <v>836000</v>
      </c>
      <c r="BC54" s="94">
        <v>4568000</v>
      </c>
      <c r="BD54" s="94">
        <f>SUM(AZ54:BC54)</f>
        <v>5404000</v>
      </c>
      <c r="BF54" s="94">
        <v>0</v>
      </c>
      <c r="BG54" s="94">
        <v>0</v>
      </c>
      <c r="BH54" s="94">
        <v>0</v>
      </c>
      <c r="BI54" s="94">
        <v>0</v>
      </c>
      <c r="BJ54" s="94">
        <f>SUM(BF54:BI54)</f>
        <v>0</v>
      </c>
      <c r="BL54" s="94">
        <v>0</v>
      </c>
      <c r="BM54" s="94">
        <v>0</v>
      </c>
      <c r="BN54" s="94">
        <v>0</v>
      </c>
      <c r="BO54" s="94">
        <v>0</v>
      </c>
      <c r="BP54" s="94">
        <f>SUM(BL54:BO54)</f>
        <v>0</v>
      </c>
      <c r="BR54" s="94">
        <v>0</v>
      </c>
      <c r="BU54" s="94">
        <v>-207000</v>
      </c>
      <c r="BV54" s="94">
        <f>SUM(BR54:BU54)</f>
        <v>-207000</v>
      </c>
      <c r="BX54" s="94">
        <v>20181000</v>
      </c>
      <c r="BY54" s="94">
        <v>34135000</v>
      </c>
      <c r="BZ54" s="94">
        <v>-13336000</v>
      </c>
      <c r="CA54" s="94">
        <v>-499505000</v>
      </c>
      <c r="CB54" s="94">
        <f>SUM(BX54:CA54)</f>
        <v>-458525000</v>
      </c>
      <c r="CD54" s="167"/>
      <c r="CF54" s="94">
        <f>+AN54</f>
        <v>0</v>
      </c>
      <c r="CG54" s="94">
        <f>SUM($AN54:AO54)</f>
        <v>0</v>
      </c>
      <c r="CH54" s="94">
        <f>SUM($AN54:AP54)</f>
        <v>2486000</v>
      </c>
      <c r="CI54" s="94">
        <f>SUM($AN54:AQ54)</f>
        <v>2486000</v>
      </c>
      <c r="CJ54" s="94">
        <f>+AR54</f>
        <v>2486000</v>
      </c>
      <c r="CL54" s="94">
        <f>+AT54</f>
        <v>0</v>
      </c>
      <c r="CM54" s="94">
        <f>SUM($AT54:AU54)</f>
        <v>387000</v>
      </c>
      <c r="CN54" s="94">
        <f>SUM($AT54:AV54)</f>
        <v>985000</v>
      </c>
      <c r="CO54" s="94">
        <f>SUM($AT54:AW54)</f>
        <v>1790000</v>
      </c>
      <c r="CP54" s="94">
        <f>+AX54</f>
        <v>1790000</v>
      </c>
      <c r="CR54" s="94">
        <f>+AZ54</f>
        <v>0</v>
      </c>
      <c r="CS54" s="94">
        <f>SUM($AZ54:BA54)</f>
        <v>0</v>
      </c>
      <c r="CT54" s="94">
        <f>SUM($AZ54:BB54)</f>
        <v>836000</v>
      </c>
      <c r="CU54" s="94">
        <f>SUM($AZ54:BC54)</f>
        <v>5404000</v>
      </c>
      <c r="CV54" s="94">
        <f>+BD54</f>
        <v>5404000</v>
      </c>
      <c r="CX54" s="94">
        <f>+BF54</f>
        <v>0</v>
      </c>
      <c r="CY54" s="94">
        <f>SUM($BF54:BG54)</f>
        <v>0</v>
      </c>
      <c r="CZ54" s="94">
        <f>SUM($BF54:BH54)</f>
        <v>0</v>
      </c>
      <c r="DA54" s="94">
        <f>SUM($BF54:BI54)</f>
        <v>0</v>
      </c>
      <c r="DB54" s="94">
        <f>+BJ54</f>
        <v>0</v>
      </c>
      <c r="DD54" s="94">
        <f>+BL54</f>
        <v>0</v>
      </c>
      <c r="DE54" s="94">
        <f>SUM($BL54:BM54)</f>
        <v>0</v>
      </c>
      <c r="DF54" s="94">
        <f>SUM($BL54:BN54)</f>
        <v>0</v>
      </c>
      <c r="DG54" s="94">
        <f>SUM($BL54:BO54)</f>
        <v>0</v>
      </c>
      <c r="DH54" s="94">
        <f>+BP54</f>
        <v>0</v>
      </c>
      <c r="DJ54" s="94">
        <f>+BR54</f>
        <v>0</v>
      </c>
      <c r="DK54" s="94">
        <f>SUM($BR54:BS54)</f>
        <v>0</v>
      </c>
      <c r="DL54" s="94">
        <f>SUM($BR54:BT54)</f>
        <v>0</v>
      </c>
      <c r="DM54" s="94">
        <f>SUM($BR54:BU54)</f>
        <v>-207000</v>
      </c>
      <c r="DN54" s="94">
        <f>+BV54</f>
        <v>-207000</v>
      </c>
      <c r="DP54" s="94">
        <f>+BX54</f>
        <v>20181000</v>
      </c>
      <c r="DQ54" s="94">
        <f>SUM($BX54:BY54)</f>
        <v>54316000</v>
      </c>
      <c r="DR54" s="94">
        <f>SUM($BX54:BZ54)</f>
        <v>40980000</v>
      </c>
      <c r="DS54" s="94">
        <f>SUM($BX54:CA54)</f>
        <v>-458525000</v>
      </c>
      <c r="DT54" s="94">
        <f>+CB54</f>
        <v>-458525000</v>
      </c>
    </row>
    <row r="55" spans="1:124" ht="16.649999999999999" customHeight="1" x14ac:dyDescent="0.25">
      <c r="A55" s="130" t="s">
        <v>373</v>
      </c>
      <c r="B55" s="130" t="s">
        <v>373</v>
      </c>
      <c r="D55" s="83">
        <f>HLOOKUP(D$7,$AL$7:$CD$75,$AJ55,FALSE)</f>
        <v>0</v>
      </c>
      <c r="F55" s="83">
        <f>HLOOKUP(F$7,$AL$7:$CD$75,$AJ55,FALSE)</f>
        <v>0</v>
      </c>
      <c r="H55" s="83">
        <f>HLOOKUP(H$7,$AL$7:$CD$75,$AJ55,FALSE)</f>
        <v>0</v>
      </c>
      <c r="J55" s="83">
        <f>HLOOKUP(J$7,$CD$7:$DU$75,$AJ55,FALSE)</f>
        <v>0</v>
      </c>
      <c r="L55" s="83">
        <f>HLOOKUP(L$7,$CD$7:$DU$75,$AJ55,FALSE)</f>
        <v>0</v>
      </c>
      <c r="N55" s="83">
        <f>HLOOKUP(N$7,$CD$7:$DU$75,$AJ55,FALSE)</f>
        <v>0</v>
      </c>
      <c r="P55" s="198">
        <f t="shared" si="93"/>
        <v>0</v>
      </c>
      <c r="R55" s="198">
        <f t="shared" si="94"/>
        <v>0</v>
      </c>
      <c r="Z55" s="198">
        <f t="shared" si="95"/>
        <v>0</v>
      </c>
      <c r="AB55" s="198">
        <f t="shared" si="96"/>
        <v>0</v>
      </c>
      <c r="AJ55" s="253">
        <f t="shared" si="92"/>
        <v>49</v>
      </c>
      <c r="AL55" s="276"/>
      <c r="AO55" s="94">
        <v>0</v>
      </c>
      <c r="AR55" s="94">
        <f>SUM(AN55:AQ55)</f>
        <v>0</v>
      </c>
      <c r="AT55" s="94">
        <v>0</v>
      </c>
      <c r="AU55" s="94">
        <v>0</v>
      </c>
      <c r="AV55" s="94">
        <v>0</v>
      </c>
      <c r="AW55" s="94">
        <v>0</v>
      </c>
      <c r="AX55" s="94">
        <f>SUM(AT55:AW55)</f>
        <v>0</v>
      </c>
      <c r="AZ55" s="94">
        <v>0</v>
      </c>
      <c r="BA55" s="94">
        <v>0</v>
      </c>
      <c r="BB55" s="94">
        <v>0</v>
      </c>
      <c r="BC55" s="94">
        <v>0</v>
      </c>
      <c r="BD55" s="94">
        <f>SUM(AZ55:BC55)</f>
        <v>0</v>
      </c>
      <c r="BF55" s="94">
        <v>0</v>
      </c>
      <c r="BG55" s="94">
        <v>0</v>
      </c>
      <c r="BH55" s="94">
        <v>0</v>
      </c>
      <c r="BI55" s="94">
        <v>0</v>
      </c>
      <c r="BJ55" s="94">
        <f>SUM(BF55:BI55)</f>
        <v>0</v>
      </c>
      <c r="BL55" s="94">
        <v>0</v>
      </c>
      <c r="BM55" s="94">
        <v>0</v>
      </c>
      <c r="BN55" s="94">
        <v>0</v>
      </c>
      <c r="BO55" s="94">
        <v>0</v>
      </c>
      <c r="BP55" s="94">
        <f>SUM(BL55:BO55)</f>
        <v>0</v>
      </c>
      <c r="BR55" s="94">
        <v>0</v>
      </c>
      <c r="BU55" s="94">
        <v>18582000</v>
      </c>
      <c r="BV55" s="94">
        <f>SUM(BR55:BU55)</f>
        <v>18582000</v>
      </c>
      <c r="BX55" s="94">
        <v>-6573000</v>
      </c>
      <c r="BY55" s="94">
        <v>-7929000</v>
      </c>
      <c r="BZ55" s="94">
        <v>2251032000</v>
      </c>
      <c r="CB55" s="94">
        <f>SUM(BX55:CA55)</f>
        <v>2236530000</v>
      </c>
      <c r="CD55" s="167"/>
      <c r="CF55" s="94">
        <f>+AN55</f>
        <v>0</v>
      </c>
      <c r="CG55" s="94">
        <f>SUM($AN55:AO55)</f>
        <v>0</v>
      </c>
      <c r="CH55" s="94">
        <f>SUM($AN55:AP55)</f>
        <v>0</v>
      </c>
      <c r="CI55" s="94">
        <f>SUM($AN55:AQ55)</f>
        <v>0</v>
      </c>
      <c r="CJ55" s="94">
        <f>+AR55</f>
        <v>0</v>
      </c>
      <c r="CL55" s="94">
        <f>+AT55</f>
        <v>0</v>
      </c>
      <c r="CM55" s="94">
        <f>SUM($AT55:AU55)</f>
        <v>0</v>
      </c>
      <c r="CN55" s="94">
        <f>SUM($AT55:AV55)</f>
        <v>0</v>
      </c>
      <c r="CO55" s="94">
        <f>SUM($AT55:AW55)</f>
        <v>0</v>
      </c>
      <c r="CP55" s="94">
        <f>+AX55</f>
        <v>0</v>
      </c>
      <c r="CR55" s="94">
        <f>+AZ55</f>
        <v>0</v>
      </c>
      <c r="CS55" s="94">
        <f>SUM($AZ55:BA55)</f>
        <v>0</v>
      </c>
      <c r="CT55" s="94">
        <f>SUM($AZ55:BB55)</f>
        <v>0</v>
      </c>
      <c r="CU55" s="94">
        <f>SUM($AZ55:BC55)</f>
        <v>0</v>
      </c>
      <c r="CV55" s="94">
        <f>+BD55</f>
        <v>0</v>
      </c>
      <c r="CX55" s="94">
        <f>+BF55</f>
        <v>0</v>
      </c>
      <c r="CY55" s="94">
        <f>SUM($BF55:BG55)</f>
        <v>0</v>
      </c>
      <c r="CZ55" s="94">
        <f>SUM($BF55:BH55)</f>
        <v>0</v>
      </c>
      <c r="DA55" s="94">
        <f>SUM($BF55:BI55)</f>
        <v>0</v>
      </c>
      <c r="DB55" s="94">
        <f>+BJ55</f>
        <v>0</v>
      </c>
      <c r="DD55" s="94">
        <f>+BL55</f>
        <v>0</v>
      </c>
      <c r="DE55" s="94">
        <f>SUM($BL55:BM55)</f>
        <v>0</v>
      </c>
      <c r="DF55" s="94">
        <f>SUM($BL55:BN55)</f>
        <v>0</v>
      </c>
      <c r="DG55" s="94">
        <f>SUM($BL55:BO55)</f>
        <v>0</v>
      </c>
      <c r="DH55" s="94">
        <f>+BP55</f>
        <v>0</v>
      </c>
      <c r="DJ55" s="94">
        <f>+BR55</f>
        <v>0</v>
      </c>
      <c r="DK55" s="94">
        <f>SUM($BR55:BS55)</f>
        <v>0</v>
      </c>
      <c r="DL55" s="94">
        <f>SUM($BR55:BT55)</f>
        <v>0</v>
      </c>
      <c r="DM55" s="94">
        <f>SUM($BR55:BU55)</f>
        <v>18582000</v>
      </c>
      <c r="DN55" s="94">
        <f>+BV55</f>
        <v>18582000</v>
      </c>
      <c r="DP55" s="94">
        <f>+BX55</f>
        <v>-6573000</v>
      </c>
      <c r="DQ55" s="94">
        <f>SUM($BX55:BY55)</f>
        <v>-14502000</v>
      </c>
      <c r="DR55" s="94">
        <f>SUM($BX55:BZ55)</f>
        <v>2236530000</v>
      </c>
      <c r="DS55" s="94">
        <f>SUM($BX55:CA55)</f>
        <v>2236530000</v>
      </c>
      <c r="DT55" s="94">
        <f>+CB55</f>
        <v>2236530000</v>
      </c>
    </row>
    <row r="56" spans="1:124" ht="16.649999999999999" customHeight="1" x14ac:dyDescent="0.25">
      <c r="A56" s="130" t="s">
        <v>374</v>
      </c>
      <c r="B56" s="130" t="s">
        <v>374</v>
      </c>
      <c r="D56" s="255">
        <f>HLOOKUP(D$7,$AL$7:$CD$75,$AJ56,FALSE)</f>
        <v>0</v>
      </c>
      <c r="F56" s="255">
        <f>HLOOKUP(F$7,$AL$7:$CD$75,$AJ56,FALSE)</f>
        <v>0</v>
      </c>
      <c r="H56" s="255">
        <f>HLOOKUP(H$7,$AL$7:$CD$75,$AJ56,FALSE)</f>
        <v>0</v>
      </c>
      <c r="J56" s="255">
        <f>HLOOKUP(J$7,$CD$7:$DU$75,$AJ56,FALSE)</f>
        <v>0</v>
      </c>
      <c r="L56" s="255">
        <f>HLOOKUP(L$7,$CD$7:$DU$75,$AJ56,FALSE)</f>
        <v>0</v>
      </c>
      <c r="N56" s="255">
        <f>HLOOKUP(N$7,$CD$7:$DU$75,$AJ56,FALSE)</f>
        <v>0</v>
      </c>
      <c r="P56" s="198">
        <f t="shared" si="93"/>
        <v>0</v>
      </c>
      <c r="R56" s="198">
        <f t="shared" si="94"/>
        <v>0</v>
      </c>
      <c r="Z56" s="198">
        <f t="shared" si="95"/>
        <v>0</v>
      </c>
      <c r="AB56" s="198">
        <f t="shared" si="96"/>
        <v>0</v>
      </c>
      <c r="AJ56" s="253">
        <f t="shared" si="92"/>
        <v>50</v>
      </c>
      <c r="AL56" s="276"/>
      <c r="AO56" s="157">
        <v>0</v>
      </c>
      <c r="AR56" s="157">
        <f>SUM(AN56:AQ56)</f>
        <v>0</v>
      </c>
      <c r="AT56" s="157">
        <v>0</v>
      </c>
      <c r="AU56" s="157">
        <v>0</v>
      </c>
      <c r="AV56" s="157">
        <v>0</v>
      </c>
      <c r="AW56" s="157">
        <v>0</v>
      </c>
      <c r="AX56" s="157">
        <f>SUM(AT56:AW56)</f>
        <v>0</v>
      </c>
      <c r="AZ56" s="157">
        <v>0</v>
      </c>
      <c r="BA56" s="157">
        <v>0</v>
      </c>
      <c r="BB56" s="157">
        <v>0</v>
      </c>
      <c r="BC56" s="157">
        <v>0</v>
      </c>
      <c r="BD56" s="157">
        <f>SUM(AZ56:BC56)</f>
        <v>0</v>
      </c>
      <c r="BF56" s="157">
        <v>0</v>
      </c>
      <c r="BG56" s="157">
        <v>0</v>
      </c>
      <c r="BH56" s="157">
        <v>0</v>
      </c>
      <c r="BI56" s="157">
        <v>0</v>
      </c>
      <c r="BJ56" s="157">
        <f>SUM(BF56:BI56)</f>
        <v>0</v>
      </c>
      <c r="BL56" s="157">
        <v>0</v>
      </c>
      <c r="BM56" s="157">
        <v>0</v>
      </c>
      <c r="BN56" s="157">
        <v>0</v>
      </c>
      <c r="BO56" s="157">
        <v>0</v>
      </c>
      <c r="BP56" s="157">
        <f>SUM(BL56:BO56)</f>
        <v>0</v>
      </c>
      <c r="BR56" s="157">
        <v>0</v>
      </c>
      <c r="BU56" s="157">
        <v>0</v>
      </c>
      <c r="BV56" s="157">
        <f>SUM(BR56:BU56)</f>
        <v>0</v>
      </c>
      <c r="BX56" s="157">
        <v>-167000</v>
      </c>
      <c r="BY56" s="157">
        <v>-5000</v>
      </c>
      <c r="BZ56" s="157">
        <v>0</v>
      </c>
      <c r="CB56" s="157">
        <f>SUM(BX56:CA56)</f>
        <v>-172000</v>
      </c>
      <c r="CD56" s="167"/>
      <c r="CF56" s="157">
        <f>+AN56</f>
        <v>0</v>
      </c>
      <c r="CG56" s="157">
        <f>SUM($AN56:AO56)</f>
        <v>0</v>
      </c>
      <c r="CH56" s="157">
        <f>SUM($AN56:AP56)</f>
        <v>0</v>
      </c>
      <c r="CI56" s="157">
        <f>SUM($AN56:AQ56)</f>
        <v>0</v>
      </c>
      <c r="CJ56" s="157">
        <f>+AR56</f>
        <v>0</v>
      </c>
      <c r="CL56" s="157">
        <f>+AT56</f>
        <v>0</v>
      </c>
      <c r="CM56" s="157">
        <f>SUM($AT56:AU56)</f>
        <v>0</v>
      </c>
      <c r="CN56" s="157">
        <f>SUM($AT56:AV56)</f>
        <v>0</v>
      </c>
      <c r="CO56" s="157">
        <f>SUM($AT56:AW56)</f>
        <v>0</v>
      </c>
      <c r="CP56" s="157">
        <f>+AX56</f>
        <v>0</v>
      </c>
      <c r="CR56" s="157">
        <f>+AZ56</f>
        <v>0</v>
      </c>
      <c r="CS56" s="157">
        <f>SUM($AZ56:BA56)</f>
        <v>0</v>
      </c>
      <c r="CT56" s="157">
        <f>SUM($AZ56:BB56)</f>
        <v>0</v>
      </c>
      <c r="CU56" s="157">
        <f>SUM($AZ56:BC56)</f>
        <v>0</v>
      </c>
      <c r="CV56" s="157">
        <f>+BD56</f>
        <v>0</v>
      </c>
      <c r="CX56" s="157">
        <f>+BF56</f>
        <v>0</v>
      </c>
      <c r="CY56" s="157">
        <f>SUM($BF56:BG56)</f>
        <v>0</v>
      </c>
      <c r="CZ56" s="157">
        <f>SUM($BF56:BH56)</f>
        <v>0</v>
      </c>
      <c r="DA56" s="157">
        <f>SUM($BF56:BI56)</f>
        <v>0</v>
      </c>
      <c r="DB56" s="157">
        <f>+BJ56</f>
        <v>0</v>
      </c>
      <c r="DD56" s="157">
        <f>+BL56</f>
        <v>0</v>
      </c>
      <c r="DE56" s="157">
        <f>SUM($BL56:BM56)</f>
        <v>0</v>
      </c>
      <c r="DF56" s="157">
        <f>SUM($BL56:BN56)</f>
        <v>0</v>
      </c>
      <c r="DG56" s="157">
        <f>SUM($BL56:BO56)</f>
        <v>0</v>
      </c>
      <c r="DH56" s="157">
        <f>+BP56</f>
        <v>0</v>
      </c>
      <c r="DJ56" s="157">
        <f>+BR56</f>
        <v>0</v>
      </c>
      <c r="DK56" s="157">
        <f>SUM($BR56:BS56)</f>
        <v>0</v>
      </c>
      <c r="DL56" s="157">
        <f>SUM($BR56:BT56)</f>
        <v>0</v>
      </c>
      <c r="DM56" s="157">
        <f>SUM($BR56:BU56)</f>
        <v>0</v>
      </c>
      <c r="DN56" s="157">
        <f>+BV56</f>
        <v>0</v>
      </c>
      <c r="DP56" s="157">
        <f>+BX56</f>
        <v>-167000</v>
      </c>
      <c r="DQ56" s="157">
        <f>SUM($BX56:BY56)</f>
        <v>-172000</v>
      </c>
      <c r="DR56" s="157">
        <f>SUM($BX56:BZ56)</f>
        <v>-172000</v>
      </c>
      <c r="DS56" s="157">
        <f>SUM($BX56:CA56)</f>
        <v>-172000</v>
      </c>
      <c r="DT56" s="157">
        <f>+CB56</f>
        <v>-172000</v>
      </c>
    </row>
    <row r="57" spans="1:124" ht="27.5" customHeight="1" x14ac:dyDescent="0.25">
      <c r="A57" s="256" t="str">
        <f>IF(T57=V57,T57,"Net cash provided by (used in) discontinued operations")</f>
        <v>Net cash provided by discontinued operations</v>
      </c>
      <c r="B57" s="256" t="str">
        <f>IF(AD57=AF57,AD57,"Net cash provided by (used in) discontinued operations")</f>
        <v>Net cash provided by discontinued operations</v>
      </c>
      <c r="D57" s="257">
        <f>SUM(D54:D56)</f>
        <v>2486000</v>
      </c>
      <c r="F57" s="257">
        <f>SUM(F54:F56)</f>
        <v>598000</v>
      </c>
      <c r="H57" s="257">
        <f>SUM(H54:H56)</f>
        <v>836000</v>
      </c>
      <c r="J57" s="257">
        <f>SUM(J54:J56)</f>
        <v>2486000</v>
      </c>
      <c r="L57" s="257">
        <f>SUM(L54:L56)</f>
        <v>985000</v>
      </c>
      <c r="N57" s="257">
        <f>SUM(N54:N56)</f>
        <v>836000</v>
      </c>
      <c r="P57" s="198">
        <f t="shared" si="93"/>
        <v>1888000</v>
      </c>
      <c r="R57" s="198">
        <f t="shared" si="94"/>
        <v>-238000</v>
      </c>
      <c r="T57" s="54" t="str">
        <f>IF(D57&gt;=0,"Net cash provided by discontinued operations","Net cash used in discontinued operations")</f>
        <v>Net cash provided by discontinued operations</v>
      </c>
      <c r="V57" s="54" t="str">
        <f>IF(F57&gt;=0,"Net cash provided by discontinued operations","Net cash used in discontinued operations")</f>
        <v>Net cash provided by discontinued operations</v>
      </c>
      <c r="X57" s="54" t="str">
        <f>IF(H57&gt;=0,"Net cash provided by discontinued operations","Net cash used in discontinued operations")</f>
        <v>Net cash provided by discontinued operations</v>
      </c>
      <c r="Z57" s="198">
        <f t="shared" si="95"/>
        <v>1501000</v>
      </c>
      <c r="AB57" s="198">
        <f t="shared" si="96"/>
        <v>149000</v>
      </c>
      <c r="AD57" s="54" t="str">
        <f>IF(J57&gt;=0,"Net cash provided by discontinued operations","Net cash used in discontinued operations")</f>
        <v>Net cash provided by discontinued operations</v>
      </c>
      <c r="AF57" s="54" t="str">
        <f>IF(L57&gt;=0,"Net cash provided by discontinued operations","Net cash used in discontinued operations")</f>
        <v>Net cash provided by discontinued operations</v>
      </c>
      <c r="AH57" s="54" t="str">
        <f>IF(N57&gt;=0,"Net cash provided by discontinued operations","Net cash used in discontinued operations")</f>
        <v>Net cash provided by discontinued operations</v>
      </c>
      <c r="AJ57" s="253">
        <f t="shared" si="92"/>
        <v>51</v>
      </c>
      <c r="AL57" s="276"/>
      <c r="AN57" s="159">
        <f>SUM(AN54:AN56)</f>
        <v>0</v>
      </c>
      <c r="AO57" s="159">
        <f>SUM(AO54:AO56)</f>
        <v>0</v>
      </c>
      <c r="AP57" s="159">
        <f>SUM(AP54:AP56)</f>
        <v>2486000</v>
      </c>
      <c r="AQ57" s="159">
        <f>SUM(AQ54:AQ56)</f>
        <v>0</v>
      </c>
      <c r="AR57" s="159">
        <f>SUM(AR54:AR56)</f>
        <v>2486000</v>
      </c>
      <c r="AT57" s="159">
        <f>SUM(AT54:AT56)</f>
        <v>0</v>
      </c>
      <c r="AU57" s="159">
        <f>SUM(AU54:AU56)</f>
        <v>387000</v>
      </c>
      <c r="AV57" s="159">
        <f>SUM(AV54:AV56)</f>
        <v>598000</v>
      </c>
      <c r="AW57" s="159">
        <f>SUM(AW54:AW56)</f>
        <v>805000</v>
      </c>
      <c r="AX57" s="159">
        <f>SUM(AX54:AX56)</f>
        <v>1790000</v>
      </c>
      <c r="AZ57" s="159">
        <f>SUM(AZ54:AZ56)</f>
        <v>0</v>
      </c>
      <c r="BA57" s="159">
        <f>SUM(BA54:BA56)</f>
        <v>0</v>
      </c>
      <c r="BB57" s="159">
        <f>SUM(BB54:BB56)</f>
        <v>836000</v>
      </c>
      <c r="BC57" s="159">
        <f>SUM(BC54:BC56)</f>
        <v>4568000</v>
      </c>
      <c r="BD57" s="159">
        <f>SUM(BD54:BD56)</f>
        <v>5404000</v>
      </c>
      <c r="BF57" s="159">
        <f>SUM(BF54:BF56)</f>
        <v>0</v>
      </c>
      <c r="BG57" s="159">
        <f>SUM(BG54:BG56)</f>
        <v>0</v>
      </c>
      <c r="BH57" s="159">
        <f>SUM(BH54:BH56)</f>
        <v>0</v>
      </c>
      <c r="BI57" s="159">
        <f>SUM(BI54:BI56)</f>
        <v>0</v>
      </c>
      <c r="BJ57" s="159">
        <f>SUM(BJ54:BJ56)</f>
        <v>0</v>
      </c>
      <c r="BL57" s="159">
        <f>SUM(BL54:BL56)</f>
        <v>0</v>
      </c>
      <c r="BM57" s="159">
        <f>SUM(BM54:BM56)</f>
        <v>0</v>
      </c>
      <c r="BN57" s="159">
        <f>SUM(BN54:BN56)</f>
        <v>0</v>
      </c>
      <c r="BO57" s="159">
        <f>SUM(BO54:BO56)</f>
        <v>0</v>
      </c>
      <c r="BP57" s="159">
        <f>SUM(BP54:BP56)</f>
        <v>0</v>
      </c>
      <c r="BR57" s="159">
        <f>SUM(BR54:BR56)</f>
        <v>0</v>
      </c>
      <c r="BS57" s="159">
        <f>SUM(BS54:BS56)</f>
        <v>0</v>
      </c>
      <c r="BT57" s="159">
        <f>SUM(BT54:BT56)</f>
        <v>0</v>
      </c>
      <c r="BU57" s="159">
        <v>18375000</v>
      </c>
      <c r="BV57" s="159">
        <f>SUM(BV54:BV56)</f>
        <v>18375000</v>
      </c>
      <c r="BX57" s="159">
        <f>SUM(BX54:BX56)</f>
        <v>13441000</v>
      </c>
      <c r="BY57" s="159">
        <v>26201000</v>
      </c>
      <c r="BZ57" s="159">
        <v>2237696000</v>
      </c>
      <c r="CA57" s="159">
        <f>SUM(CA54:CA56)</f>
        <v>-499505000</v>
      </c>
      <c r="CB57" s="159">
        <f>SUM(CB54:CB56)</f>
        <v>1777833000</v>
      </c>
      <c r="CD57" s="172"/>
      <c r="CF57" s="159">
        <f>SUM(CF54:CF56)</f>
        <v>0</v>
      </c>
      <c r="CG57" s="159">
        <f>SUM(CG54:CG56)</f>
        <v>0</v>
      </c>
      <c r="CH57" s="159">
        <f>SUM(CH54:CH56)</f>
        <v>2486000</v>
      </c>
      <c r="CI57" s="159">
        <f>SUM(CI54:CI56)</f>
        <v>2486000</v>
      </c>
      <c r="CJ57" s="159">
        <f>SUM(CJ54:CJ56)</f>
        <v>2486000</v>
      </c>
      <c r="CL57" s="159">
        <f>SUM(CL54:CL56)</f>
        <v>0</v>
      </c>
      <c r="CM57" s="159">
        <f>SUM(CM54:CM56)</f>
        <v>387000</v>
      </c>
      <c r="CN57" s="159">
        <f>SUM(CN54:CN56)</f>
        <v>985000</v>
      </c>
      <c r="CO57" s="159">
        <f>SUM(CO54:CO56)</f>
        <v>1790000</v>
      </c>
      <c r="CP57" s="159">
        <f>SUM(CP54:CP56)</f>
        <v>1790000</v>
      </c>
      <c r="CR57" s="159">
        <f>SUM(CR54:CR56)</f>
        <v>0</v>
      </c>
      <c r="CS57" s="159">
        <f>SUM(CS54:CS56)</f>
        <v>0</v>
      </c>
      <c r="CT57" s="159">
        <f>SUM(CT54:CT56)</f>
        <v>836000</v>
      </c>
      <c r="CU57" s="159">
        <f>SUM(CU54:CU56)</f>
        <v>5404000</v>
      </c>
      <c r="CV57" s="159">
        <f>SUM(CV54:CV56)</f>
        <v>5404000</v>
      </c>
      <c r="CX57" s="159">
        <f>SUM(CX54:CX56)</f>
        <v>0</v>
      </c>
      <c r="CY57" s="159">
        <f>SUM(CY54:CY56)</f>
        <v>0</v>
      </c>
      <c r="CZ57" s="159">
        <f>SUM(CZ54:CZ56)</f>
        <v>0</v>
      </c>
      <c r="DA57" s="159">
        <f>SUM(DA54:DA56)</f>
        <v>0</v>
      </c>
      <c r="DB57" s="159">
        <f>SUM(DB54:DB56)</f>
        <v>0</v>
      </c>
      <c r="DD57" s="159">
        <f>SUM(DD54:DD56)</f>
        <v>0</v>
      </c>
      <c r="DE57" s="159">
        <f>SUM(DE54:DE56)</f>
        <v>0</v>
      </c>
      <c r="DF57" s="159">
        <f>SUM(DF54:DF56)</f>
        <v>0</v>
      </c>
      <c r="DG57" s="159">
        <f>SUM(DG54:DG56)</f>
        <v>0</v>
      </c>
      <c r="DH57" s="159">
        <f>SUM(DH54:DH56)</f>
        <v>0</v>
      </c>
      <c r="DJ57" s="159">
        <f>SUM(DJ54:DJ56)</f>
        <v>0</v>
      </c>
      <c r="DK57" s="159">
        <f>SUM(DK54:DK56)</f>
        <v>0</v>
      </c>
      <c r="DL57" s="159">
        <f>SUM(DL54:DL56)</f>
        <v>0</v>
      </c>
      <c r="DM57" s="159">
        <f>SUM(DM54:DM56)</f>
        <v>18375000</v>
      </c>
      <c r="DN57" s="159">
        <f>SUM(DN54:DN56)</f>
        <v>18375000</v>
      </c>
      <c r="DP57" s="159">
        <f>SUM(DP54:DP56)</f>
        <v>13441000</v>
      </c>
      <c r="DQ57" s="159">
        <f>SUM(DQ54:DQ56)</f>
        <v>39642000</v>
      </c>
      <c r="DR57" s="159">
        <f>SUM(DR54:DR56)</f>
        <v>2277338000</v>
      </c>
      <c r="DS57" s="159">
        <f>SUM(DS54:DS56)</f>
        <v>1777833000</v>
      </c>
      <c r="DT57" s="159">
        <f>SUM(DT54:DT56)</f>
        <v>1777833000</v>
      </c>
    </row>
    <row r="58" spans="1:124" ht="39.15" customHeight="1" x14ac:dyDescent="0.25">
      <c r="A58" s="256" t="str">
        <f>IF(T58=V58,T58,"Net cash provided by (used in) continuing and discontinued operations")</f>
        <v>Net cash provided by continuing and discontinued operations</v>
      </c>
      <c r="B58" s="256" t="str">
        <f>IF(AD58=AF58,AD58,"Net cash provided by (used in) continuing and discontinued operations")</f>
        <v>Net cash provided by continuing and discontinued operations</v>
      </c>
      <c r="D58" s="258">
        <f>+D57+D48</f>
        <v>37005000</v>
      </c>
      <c r="F58" s="258">
        <f>+F57+F48</f>
        <v>6042000</v>
      </c>
      <c r="H58" s="258">
        <f>+H57+H48</f>
        <v>-33079000</v>
      </c>
      <c r="J58" s="258">
        <f>+J57+J48</f>
        <v>38368000</v>
      </c>
      <c r="L58" s="258">
        <f>+L57+L48</f>
        <v>33679000</v>
      </c>
      <c r="N58" s="258">
        <f>+N57+N48</f>
        <v>-145877000</v>
      </c>
      <c r="P58" s="198">
        <f t="shared" si="93"/>
        <v>30963000</v>
      </c>
      <c r="R58" s="198">
        <f t="shared" si="94"/>
        <v>39121000</v>
      </c>
      <c r="T58" s="54" t="str">
        <f>IF(D58&gt;0,"Net cash provided by continuing and discontinued operations","Net cash used in continuing and discontinued operations")</f>
        <v>Net cash provided by continuing and discontinued operations</v>
      </c>
      <c r="V58" s="54" t="str">
        <f>IF(F58&gt;0,"Net cash provided by continuing and discontinued operations","Net cash used in continuing and discontinued operations")</f>
        <v>Net cash provided by continuing and discontinued operations</v>
      </c>
      <c r="X58" s="54" t="str">
        <f>IF(H58&gt;0,"Net cash provided by continuing and discontinued operations","Net cash used in continuing and discontinued operations")</f>
        <v>Net cash used in continuing and discontinued operations</v>
      </c>
      <c r="Z58" s="198">
        <f t="shared" si="95"/>
        <v>4689000</v>
      </c>
      <c r="AB58" s="198">
        <f t="shared" si="96"/>
        <v>179556000</v>
      </c>
      <c r="AD58" s="54" t="str">
        <f>IF(J58&gt;0,"Net cash provided by continuing and discontinued operations","Net cash used in continuing and discontinued operations")</f>
        <v>Net cash provided by continuing and discontinued operations</v>
      </c>
      <c r="AF58" s="54" t="str">
        <f>IF(L58&gt;0,"Net cash provided by continuing and discontinued operations","Net cash used in continuing and discontinued operations")</f>
        <v>Net cash provided by continuing and discontinued operations</v>
      </c>
      <c r="AH58" s="54" t="str">
        <f>IF(N58&gt;0,"Net cash provided by continuing and discontinued operations","Net cash used in continuing and discontinued operations")</f>
        <v>Net cash used in continuing and discontinued operations</v>
      </c>
      <c r="AJ58" s="253">
        <f t="shared" si="92"/>
        <v>52</v>
      </c>
      <c r="AL58" s="276"/>
      <c r="AN58" s="88">
        <f>+AN57+AN48</f>
        <v>-26386000</v>
      </c>
      <c r="AO58" s="88">
        <f>+AO57+AO48</f>
        <v>27749000</v>
      </c>
      <c r="AP58" s="88">
        <f>+AP57+AP48</f>
        <v>37005000</v>
      </c>
      <c r="AQ58" s="88">
        <f>+AQ57+AQ48</f>
        <v>0</v>
      </c>
      <c r="AR58" s="88">
        <f>+AR57+AR48</f>
        <v>38368000</v>
      </c>
      <c r="AT58" s="88">
        <f>+AT57+AT48</f>
        <v>6618000</v>
      </c>
      <c r="AU58" s="88">
        <f>+AU57+AU48</f>
        <v>21019000</v>
      </c>
      <c r="AV58" s="88">
        <f>+AV57+AV48</f>
        <v>6042000</v>
      </c>
      <c r="AW58" s="88">
        <f>+AW57+AW48</f>
        <v>-159028000</v>
      </c>
      <c r="AX58" s="88">
        <f>+AX57+AX48</f>
        <v>-125349000</v>
      </c>
      <c r="AZ58" s="88">
        <f>+AZ57+AZ48</f>
        <v>-91156000</v>
      </c>
      <c r="BA58" s="88">
        <f>+BA57+BA48</f>
        <v>-21642000</v>
      </c>
      <c r="BB58" s="88">
        <f>+BB57+BB48</f>
        <v>-33079000</v>
      </c>
      <c r="BC58" s="88">
        <f>+BC57+BC48</f>
        <v>10713000</v>
      </c>
      <c r="BD58" s="88">
        <f>+BD57+BD48</f>
        <v>-135164000</v>
      </c>
      <c r="BF58" s="88">
        <f>+BF57+BF48</f>
        <v>-32193000</v>
      </c>
      <c r="BG58" s="88">
        <f>+BG57+BG48</f>
        <v>-5159000</v>
      </c>
      <c r="BH58" s="88">
        <f>+BH57+BH48</f>
        <v>17417000</v>
      </c>
      <c r="BI58" s="88">
        <f>+BI57+BI48</f>
        <v>38609000</v>
      </c>
      <c r="BJ58" s="88">
        <f>+BJ57+BJ48</f>
        <v>18674000</v>
      </c>
      <c r="BL58" s="88">
        <f>+BL57+BL48</f>
        <v>-68113000</v>
      </c>
      <c r="BM58" s="88">
        <f>+BM57+BM48</f>
        <v>310000</v>
      </c>
      <c r="BN58" s="88">
        <f>+BN57+BN48</f>
        <v>-2642000</v>
      </c>
      <c r="BO58" s="88">
        <f>+BO57+BO48</f>
        <v>-81504000</v>
      </c>
      <c r="BP58" s="88">
        <f>+BP57+BP48</f>
        <v>-151949000</v>
      </c>
      <c r="BR58" s="88">
        <f>+BR57+BR48</f>
        <v>-55907000</v>
      </c>
      <c r="BS58" s="88">
        <f>+BS57+BS48</f>
        <v>-212917000</v>
      </c>
      <c r="BT58" s="88">
        <f>+BT57+BT48</f>
        <v>-10521000</v>
      </c>
      <c r="BU58" s="88">
        <f>+BU57+BU48</f>
        <v>-49034000</v>
      </c>
      <c r="BV58" s="88">
        <f>+BV57+BV48</f>
        <v>-328379000</v>
      </c>
      <c r="BX58" s="88">
        <f>+BX57+BX48</f>
        <v>-45536000</v>
      </c>
      <c r="BY58" s="88">
        <f>+BY57+BY48</f>
        <v>-5951000</v>
      </c>
      <c r="BZ58" s="88">
        <f>+BZ57+BZ48</f>
        <v>1460054000</v>
      </c>
      <c r="CA58" s="88">
        <f>+CA57+CA48</f>
        <v>-485362000</v>
      </c>
      <c r="CB58" s="88">
        <f>+CB57+CB48</f>
        <v>923205000</v>
      </c>
      <c r="CD58" s="167"/>
      <c r="CF58" s="88">
        <f>+CF57+CF48</f>
        <v>-26386000</v>
      </c>
      <c r="CG58" s="88">
        <f>+CG57+CG48</f>
        <v>1363000</v>
      </c>
      <c r="CH58" s="88">
        <f>+CH57+CH48</f>
        <v>38368000</v>
      </c>
      <c r="CI58" s="88">
        <f>+CI57+CI48</f>
        <v>38368000</v>
      </c>
      <c r="CJ58" s="88">
        <f>+CJ57+CJ48</f>
        <v>38368000</v>
      </c>
      <c r="CL58" s="88">
        <f>+CL57+CL48</f>
        <v>6618000</v>
      </c>
      <c r="CM58" s="88">
        <f>+CM57+CM48</f>
        <v>27637000</v>
      </c>
      <c r="CN58" s="88">
        <f>+CN57+CN48</f>
        <v>33679000</v>
      </c>
      <c r="CO58" s="88">
        <f>+CO57+CO48</f>
        <v>-125349000</v>
      </c>
      <c r="CP58" s="88">
        <f>+CP57+CP48</f>
        <v>-125349000</v>
      </c>
      <c r="CR58" s="88">
        <f>+CR57+CR48</f>
        <v>-91156000</v>
      </c>
      <c r="CS58" s="88">
        <f>+CS57+CS48</f>
        <v>-112798000</v>
      </c>
      <c r="CT58" s="88">
        <f>+CT57+CT48</f>
        <v>-145877000</v>
      </c>
      <c r="CU58" s="88">
        <f>+CU57+CU48</f>
        <v>-135164000</v>
      </c>
      <c r="CV58" s="88">
        <f>+CV57+CV48</f>
        <v>-135164000</v>
      </c>
      <c r="CX58" s="88">
        <f>+CX57+CX48</f>
        <v>-32193000</v>
      </c>
      <c r="CY58" s="88">
        <f>+CY57+CY48</f>
        <v>-37352000</v>
      </c>
      <c r="CZ58" s="88">
        <f>+CZ57+CZ48</f>
        <v>-19935000</v>
      </c>
      <c r="DA58" s="88">
        <f>+DA57+DA48</f>
        <v>18674000</v>
      </c>
      <c r="DB58" s="88">
        <f>+DB57+DB48</f>
        <v>18674000</v>
      </c>
      <c r="DD58" s="88">
        <f>+DD57+DD48</f>
        <v>-68113000</v>
      </c>
      <c r="DE58" s="88">
        <f>+DE57+DE48</f>
        <v>-67803000</v>
      </c>
      <c r="DF58" s="88">
        <f>+DF57+DF48</f>
        <v>-70445000</v>
      </c>
      <c r="DG58" s="88">
        <f>+DG57+DG48</f>
        <v>-151949000</v>
      </c>
      <c r="DH58" s="88">
        <f>+DH57+DH48</f>
        <v>-151949000</v>
      </c>
      <c r="DJ58" s="88">
        <f>+DJ57+DJ48</f>
        <v>-55907000</v>
      </c>
      <c r="DK58" s="88">
        <f>+DK57+DK48</f>
        <v>-268824000</v>
      </c>
      <c r="DL58" s="88">
        <f>+DL57+DL48</f>
        <v>-279345000</v>
      </c>
      <c r="DM58" s="88">
        <f>+DM57+DM48</f>
        <v>-328379000</v>
      </c>
      <c r="DN58" s="88">
        <f>+DN57+DN48</f>
        <v>-328379000</v>
      </c>
      <c r="DP58" s="88">
        <f>+DP57+DP48</f>
        <v>-45536000</v>
      </c>
      <c r="DQ58" s="88">
        <f>+DQ57+DQ48</f>
        <v>-51487000</v>
      </c>
      <c r="DR58" s="88">
        <f>+DR57+DR48</f>
        <v>1408567000</v>
      </c>
      <c r="DS58" s="88">
        <f>+DS57+DS48</f>
        <v>923205000</v>
      </c>
      <c r="DT58" s="88">
        <f>+DT57+DT48</f>
        <v>923205000</v>
      </c>
    </row>
    <row r="59" spans="1:124" ht="27.5" customHeight="1" x14ac:dyDescent="0.25">
      <c r="A59" s="259" t="s">
        <v>375</v>
      </c>
      <c r="B59" s="259" t="s">
        <v>375</v>
      </c>
      <c r="D59" s="83">
        <f>HLOOKUP(D$7,$AL$7:$CD$75,$AJ59,FALSE)</f>
        <v>-1217000</v>
      </c>
      <c r="F59" s="83">
        <f>HLOOKUP(F$7,$AL$7:$CD$75,$AJ59,FALSE)</f>
        <v>735000</v>
      </c>
      <c r="H59" s="83">
        <f>HLOOKUP(H$7,$AL$7:$CD$75,$AJ59,FALSE)</f>
        <v>993000</v>
      </c>
      <c r="J59" s="83">
        <f>HLOOKUP(J$7,$CD$7:$DU$75,$AJ59,FALSE)</f>
        <v>-474000</v>
      </c>
      <c r="L59" s="83">
        <f>HLOOKUP(L$7,$CD$7:$DU$75,$AJ59,FALSE)</f>
        <v>819000</v>
      </c>
      <c r="N59" s="83">
        <f>HLOOKUP(N$7,$CD$7:$DU$75,$AJ59,FALSE)</f>
        <v>-769000</v>
      </c>
      <c r="P59" s="198">
        <f t="shared" si="93"/>
        <v>-1952000</v>
      </c>
      <c r="R59" s="198">
        <f t="shared" si="94"/>
        <v>-258000</v>
      </c>
      <c r="Z59" s="198">
        <f t="shared" si="95"/>
        <v>-1293000</v>
      </c>
      <c r="AB59" s="198">
        <f t="shared" si="96"/>
        <v>1588000</v>
      </c>
      <c r="AJ59" s="253">
        <f t="shared" si="92"/>
        <v>53</v>
      </c>
      <c r="AL59" s="276"/>
      <c r="AN59" s="94">
        <v>-71000</v>
      </c>
      <c r="AO59" s="94">
        <v>814000</v>
      </c>
      <c r="AP59" s="94">
        <v>-1217000</v>
      </c>
      <c r="AR59" s="94">
        <f>SUM(AN59:AQ59)</f>
        <v>-474000</v>
      </c>
      <c r="AT59" s="94">
        <v>-293000</v>
      </c>
      <c r="AU59" s="94">
        <v>377000</v>
      </c>
      <c r="AV59" s="94">
        <v>735000</v>
      </c>
      <c r="AW59" s="94">
        <v>-447000</v>
      </c>
      <c r="AX59" s="94">
        <f>SUM(AT59:AW59)</f>
        <v>372000</v>
      </c>
      <c r="AZ59" s="94">
        <v>-752000</v>
      </c>
      <c r="BA59" s="94">
        <v>-1010000</v>
      </c>
      <c r="BB59" s="94">
        <v>993000</v>
      </c>
      <c r="BC59" s="94">
        <v>219000</v>
      </c>
      <c r="BD59" s="94">
        <f>SUM(AZ59:BC59)</f>
        <v>-550000</v>
      </c>
      <c r="BF59" s="94">
        <v>261000</v>
      </c>
      <c r="BG59" s="94">
        <v>-275000</v>
      </c>
      <c r="BH59" s="94">
        <v>-48000</v>
      </c>
      <c r="BI59" s="94">
        <v>-137000</v>
      </c>
      <c r="BJ59" s="94">
        <f>SUM(BF59:BI59)</f>
        <v>-199000</v>
      </c>
      <c r="BL59" s="94">
        <v>197000</v>
      </c>
      <c r="BM59" s="94">
        <v>486000</v>
      </c>
      <c r="BN59" s="94">
        <v>537000</v>
      </c>
      <c r="BO59" s="94">
        <v>-210000</v>
      </c>
      <c r="BP59" s="94">
        <f>SUM(BL59:BO59)</f>
        <v>1010000</v>
      </c>
      <c r="BR59" s="94">
        <v>-89000</v>
      </c>
      <c r="BS59" s="94">
        <v>-302000</v>
      </c>
      <c r="BT59" s="94">
        <v>278000</v>
      </c>
      <c r="BU59" s="94">
        <v>-355000</v>
      </c>
      <c r="BV59" s="94">
        <f>SUM(BR59:BU59)</f>
        <v>-468000</v>
      </c>
      <c r="BX59" s="94">
        <v>-927000</v>
      </c>
      <c r="BY59" s="94">
        <v>-557000</v>
      </c>
      <c r="BZ59" s="94">
        <v>-327000</v>
      </c>
      <c r="CA59" s="94">
        <v>61000</v>
      </c>
      <c r="CB59" s="94">
        <f>SUM(BX59:CA59)</f>
        <v>-1750000</v>
      </c>
      <c r="CD59" s="167"/>
      <c r="CF59" s="94">
        <f>+AN59</f>
        <v>-71000</v>
      </c>
      <c r="CG59" s="94">
        <f>SUM($AN59:AO59)</f>
        <v>743000</v>
      </c>
      <c r="CH59" s="94">
        <f>SUM($AN59:AP59)</f>
        <v>-474000</v>
      </c>
      <c r="CI59" s="94">
        <f>SUM($AN59:AQ59)</f>
        <v>-474000</v>
      </c>
      <c r="CJ59" s="94">
        <f>+AR59</f>
        <v>-474000</v>
      </c>
      <c r="CL59" s="94">
        <f>+AT59</f>
        <v>-293000</v>
      </c>
      <c r="CM59" s="94">
        <f>SUM($AT59:AU59)</f>
        <v>84000</v>
      </c>
      <c r="CN59" s="94">
        <f>SUM($AT59:AV59)</f>
        <v>819000</v>
      </c>
      <c r="CO59" s="94">
        <f>SUM($AT59:AW59)</f>
        <v>372000</v>
      </c>
      <c r="CP59" s="94">
        <f>+AX59</f>
        <v>372000</v>
      </c>
      <c r="CR59" s="94">
        <f>+AZ59</f>
        <v>-752000</v>
      </c>
      <c r="CS59" s="94">
        <f>SUM($AZ59:BA59)</f>
        <v>-1762000</v>
      </c>
      <c r="CT59" s="94">
        <f>SUM($AZ59:BB59)</f>
        <v>-769000</v>
      </c>
      <c r="CU59" s="94">
        <f>SUM($AZ59:BC59)</f>
        <v>-550000</v>
      </c>
      <c r="CV59" s="94">
        <f>+BD59</f>
        <v>-550000</v>
      </c>
      <c r="CX59" s="94">
        <f>+BF59</f>
        <v>261000</v>
      </c>
      <c r="CY59" s="94">
        <f>SUM($BF59:BG59)</f>
        <v>-14000</v>
      </c>
      <c r="CZ59" s="94">
        <f>SUM($BF59:BH59)</f>
        <v>-62000</v>
      </c>
      <c r="DA59" s="94">
        <f>SUM($BF59:BI59)</f>
        <v>-199000</v>
      </c>
      <c r="DB59" s="94">
        <f>+BJ59</f>
        <v>-199000</v>
      </c>
      <c r="DD59" s="94">
        <f>+BL59</f>
        <v>197000</v>
      </c>
      <c r="DE59" s="94">
        <f>SUM($BL59:BM59)</f>
        <v>683000</v>
      </c>
      <c r="DF59" s="94">
        <f>SUM($BL59:BN59)</f>
        <v>1220000</v>
      </c>
      <c r="DG59" s="94">
        <f>SUM($BL59:BO59)</f>
        <v>1010000</v>
      </c>
      <c r="DH59" s="94">
        <f>+BP59</f>
        <v>1010000</v>
      </c>
      <c r="DJ59" s="94">
        <f>+BR59</f>
        <v>-89000</v>
      </c>
      <c r="DK59" s="94">
        <f>SUM($BR59:BS59)</f>
        <v>-391000</v>
      </c>
      <c r="DL59" s="94">
        <f>SUM($BR59:BT59)</f>
        <v>-113000</v>
      </c>
      <c r="DM59" s="94">
        <f>SUM($BR59:BU59)</f>
        <v>-468000</v>
      </c>
      <c r="DN59" s="94">
        <f>+BV59</f>
        <v>-468000</v>
      </c>
      <c r="DP59" s="94">
        <f>+BX59</f>
        <v>-927000</v>
      </c>
      <c r="DQ59" s="94">
        <f>SUM($BX59:BY59)</f>
        <v>-1484000</v>
      </c>
      <c r="DR59" s="94">
        <f>SUM($BX59:BZ59)</f>
        <v>-1811000</v>
      </c>
      <c r="DS59" s="94">
        <f>SUM($BX59:CA59)</f>
        <v>-1750000</v>
      </c>
      <c r="DT59" s="94">
        <f>+CB59</f>
        <v>-1750000</v>
      </c>
    </row>
    <row r="60" spans="1:124" ht="16.649999999999999" customHeight="1" x14ac:dyDescent="0.25">
      <c r="P60" s="198">
        <f t="shared" si="93"/>
        <v>0</v>
      </c>
      <c r="R60" s="198">
        <f t="shared" si="94"/>
        <v>0</v>
      </c>
      <c r="Z60" s="198">
        <f t="shared" si="95"/>
        <v>0</v>
      </c>
      <c r="AB60" s="198">
        <f t="shared" si="96"/>
        <v>0</v>
      </c>
      <c r="AJ60" s="253">
        <f t="shared" si="92"/>
        <v>54</v>
      </c>
      <c r="AL60" s="240"/>
      <c r="CD60" s="167"/>
    </row>
    <row r="61" spans="1:124" ht="27.5" customHeight="1" x14ac:dyDescent="0.25">
      <c r="A61" s="22" t="s">
        <v>376</v>
      </c>
      <c r="B61" s="22" t="s">
        <v>376</v>
      </c>
      <c r="D61" s="83">
        <f>HLOOKUP(D$7,$AL$7:$CD$75,$AJ61,FALSE)</f>
        <v>35788000</v>
      </c>
      <c r="F61" s="83">
        <f>HLOOKUP(F$7,$AL$7:$CD$75,$AJ61,FALSE)</f>
        <v>6777000</v>
      </c>
      <c r="H61" s="83">
        <f>HLOOKUP(H$7,$AL$7:$CD$75,$AJ61,FALSE)</f>
        <v>-32086000</v>
      </c>
      <c r="J61" s="83">
        <f>HLOOKUP(J$7,$CD$7:$DU$75,$AJ61,FALSE)</f>
        <v>37894000</v>
      </c>
      <c r="L61" s="83">
        <f>HLOOKUP(L$7,$CD$7:$DU$75,$AJ61,FALSE)</f>
        <v>34498000</v>
      </c>
      <c r="N61" s="83">
        <f>HLOOKUP(N$7,$CD$7:$DU$75,$AJ61,FALSE)</f>
        <v>-146646000</v>
      </c>
      <c r="P61" s="198">
        <f t="shared" si="93"/>
        <v>29011000</v>
      </c>
      <c r="R61" s="198">
        <f t="shared" si="94"/>
        <v>38863000</v>
      </c>
      <c r="Z61" s="198">
        <f t="shared" si="95"/>
        <v>3396000</v>
      </c>
      <c r="AB61" s="198">
        <f t="shared" si="96"/>
        <v>181144000</v>
      </c>
      <c r="AJ61" s="253">
        <f t="shared" si="92"/>
        <v>55</v>
      </c>
      <c r="AL61" s="276"/>
      <c r="AN61" s="94">
        <f>+AN28+AN39+AN47+AN57+AN59</f>
        <v>-26457000</v>
      </c>
      <c r="AO61" s="94">
        <f>+AO28+AO39+AO47+AO57+AO59</f>
        <v>28563000</v>
      </c>
      <c r="AP61" s="94">
        <f>+AP28+AP39+AP47+AP57+AP59</f>
        <v>35788000</v>
      </c>
      <c r="AQ61" s="94">
        <f>+AQ28+AQ39+AQ47+AQ57+AQ59</f>
        <v>0</v>
      </c>
      <c r="AR61" s="94">
        <f>+AR28+AR39+AR47+AR57+AR59</f>
        <v>37894000</v>
      </c>
      <c r="AT61" s="94">
        <f>+AT28+AT39+AT47+AT57+AT59</f>
        <v>6325000</v>
      </c>
      <c r="AU61" s="94">
        <f>+AU28+AU39+AU47+AU57+AU59</f>
        <v>21396000</v>
      </c>
      <c r="AV61" s="94">
        <f>+AV28+AV39+AV47+AV57+AV59</f>
        <v>6777000</v>
      </c>
      <c r="AW61" s="94">
        <f>+AW28+AW39+AW47+AW57+AW59</f>
        <v>-159475000</v>
      </c>
      <c r="AX61" s="94">
        <f>+AX28+AX39+AX47+AX57+AX59</f>
        <v>-124977000</v>
      </c>
      <c r="AZ61" s="94">
        <f>+AZ28+AZ39+AZ47+AZ57+AZ59</f>
        <v>-91908000</v>
      </c>
      <c r="BA61" s="94">
        <f>+BA28+BA39+BA47+BA57+BA59</f>
        <v>-22652000</v>
      </c>
      <c r="BB61" s="94">
        <f>+BB28+BB39+BB47+BB57+BB59</f>
        <v>-32086000</v>
      </c>
      <c r="BC61" s="94">
        <f>+BC28+BC39+BC47+BC57+BC59</f>
        <v>10932000</v>
      </c>
      <c r="BD61" s="94">
        <f>+BD28+BD39+BD47+BD57+BD59</f>
        <v>-135714000</v>
      </c>
      <c r="BF61" s="94">
        <f>+BF28+BF39+BF47+BF57+BF59</f>
        <v>-31932000</v>
      </c>
      <c r="BG61" s="94">
        <f>+BG28+BG39+BG47+BG57+BG59</f>
        <v>-5434000</v>
      </c>
      <c r="BH61" s="94">
        <f>+BH28+BH39+BH47+BH57+BH59</f>
        <v>17369000</v>
      </c>
      <c r="BI61" s="94">
        <f>+BI28+BI39+BI47+BI57+BI59</f>
        <v>38472000</v>
      </c>
      <c r="BJ61" s="94">
        <f>+BJ28+BJ39+BJ47+BJ57+BJ59</f>
        <v>18475000</v>
      </c>
      <c r="BL61" s="94">
        <f>+BL28+BL39+BL47+BL57+BL59</f>
        <v>-67916000</v>
      </c>
      <c r="BM61" s="94">
        <f>+BM28+BM39+BM47+BM57+BM59</f>
        <v>796000</v>
      </c>
      <c r="BN61" s="94">
        <f>+BN28+BN39+BN47+BN57+BN59</f>
        <v>-2105000</v>
      </c>
      <c r="BO61" s="94">
        <f>+BO28+BO39+BO47+BO57+BO59</f>
        <v>-81714000</v>
      </c>
      <c r="BP61" s="94">
        <f>+BP28+BP39+BP47+BP57+BP59</f>
        <v>-150939000</v>
      </c>
      <c r="BR61" s="94">
        <f>+BR28+BR39+BR47+BR57+BR59</f>
        <v>-55996000</v>
      </c>
      <c r="BS61" s="94">
        <f>+BS28+BS39+BS47+BS57+BS59</f>
        <v>-213219000</v>
      </c>
      <c r="BT61" s="94">
        <f>+BT28+BT39+BT47+BT57+BT59</f>
        <v>-10243000</v>
      </c>
      <c r="BU61" s="94">
        <f>+BU28+BU39+BU47+BU57+BU59</f>
        <v>-49389000</v>
      </c>
      <c r="BV61" s="94">
        <f>+BV28+BV39+BV47+BV57+BV59</f>
        <v>-328847000</v>
      </c>
      <c r="BX61" s="94">
        <f>+BX28+BX39+BX47+BX57+BX59</f>
        <v>-46463000</v>
      </c>
      <c r="BY61" s="94">
        <f>+BY28+BY39+BY47+BY57+BY59</f>
        <v>-6508000</v>
      </c>
      <c r="BZ61" s="94">
        <f>+BZ28+BZ39+BZ47+BZ57+BZ59</f>
        <v>1459727000</v>
      </c>
      <c r="CA61" s="94">
        <f>+CA28+CA39+CA47+CA57+CA59</f>
        <v>-485301000</v>
      </c>
      <c r="CB61" s="94">
        <f>+CB28+CB39+CB47+CB57+CB59</f>
        <v>921455000</v>
      </c>
      <c r="CD61" s="172"/>
      <c r="CF61" s="94">
        <f>+CF28+CF39+CF47+CF57+CF59</f>
        <v>-26457000</v>
      </c>
      <c r="CG61" s="94">
        <f>+CG28+CG39+CG47+CG57+CG59</f>
        <v>2106000</v>
      </c>
      <c r="CH61" s="94">
        <f>+CH28+CH39+CH47+CH57+CH59</f>
        <v>37894000</v>
      </c>
      <c r="CI61" s="94">
        <f>+CI28+CI39+CI47+CI57+CI59</f>
        <v>37894000</v>
      </c>
      <c r="CJ61" s="94">
        <f>+CJ28+CJ39+CJ47+CJ57+CJ59</f>
        <v>37894000</v>
      </c>
      <c r="CL61" s="94">
        <f>+CL28+CL39+CL47+CL57+CL59</f>
        <v>6325000</v>
      </c>
      <c r="CM61" s="94">
        <f>+CM28+CM39+CM47+CM57+CM59</f>
        <v>27721000</v>
      </c>
      <c r="CN61" s="94">
        <f>+CN28+CN39+CN47+CN57+CN59</f>
        <v>34498000</v>
      </c>
      <c r="CO61" s="94">
        <f>+CO28+CO39+CO47+CO57+CO59</f>
        <v>-124977000</v>
      </c>
      <c r="CP61" s="94">
        <f>+CP28+CP39+CP47+CP57+CP59</f>
        <v>-124977000</v>
      </c>
      <c r="CR61" s="94">
        <f>+CR28+CR39+CR47+CR57+CR59</f>
        <v>-91908000</v>
      </c>
      <c r="CS61" s="94">
        <f>+CS28+CS39+CS47+CS57+CS59</f>
        <v>-114560000</v>
      </c>
      <c r="CT61" s="94">
        <f>+CT28+CT39+CT47+CT57+CT59</f>
        <v>-146646000</v>
      </c>
      <c r="CU61" s="94">
        <f>+CU28+CU39+CU47+CU57+CU59</f>
        <v>-135714000</v>
      </c>
      <c r="CV61" s="94">
        <f>+CV28+CV39+CV47+CV57+CV59</f>
        <v>-135714000</v>
      </c>
      <c r="CX61" s="94">
        <f>+CX28+CX39+CX47+CX57+CX59</f>
        <v>-31932000</v>
      </c>
      <c r="CY61" s="94">
        <f>+CY28+CY39+CY47+CY57+CY59</f>
        <v>-37366000</v>
      </c>
      <c r="CZ61" s="94">
        <f>+CZ28+CZ39+CZ47+CZ57+CZ59</f>
        <v>-19997000</v>
      </c>
      <c r="DA61" s="94">
        <f>+DA28+DA39+DA47+DA57+DA59</f>
        <v>18475000</v>
      </c>
      <c r="DB61" s="94">
        <f>+DB28+DB39+DB47+DB57+DB59</f>
        <v>18475000</v>
      </c>
      <c r="DD61" s="94">
        <f>+DD28+DD39+DD47+DD57+DD59</f>
        <v>-67916000</v>
      </c>
      <c r="DE61" s="94">
        <f>+DE28+DE39+DE47+DE57+DE59</f>
        <v>-67120000</v>
      </c>
      <c r="DF61" s="94">
        <f>+DF28+DF39+DF47+DF57+DF59</f>
        <v>-69225000</v>
      </c>
      <c r="DG61" s="94">
        <f>+DG28+DG39+DG47+DG57+DG59</f>
        <v>-150939000</v>
      </c>
      <c r="DH61" s="94">
        <f>+DH28+DH39+DH47+DH57+DH59</f>
        <v>-150939000</v>
      </c>
      <c r="DJ61" s="94">
        <f>+DJ28+DJ39+DJ47+DJ57+DJ59</f>
        <v>-55996000</v>
      </c>
      <c r="DK61" s="94">
        <f>+DK28+DK39+DK47+DK57+DK59</f>
        <v>-269215000</v>
      </c>
      <c r="DL61" s="94">
        <f>+DL28+DL39+DL47+DL57+DL59</f>
        <v>-279458000</v>
      </c>
      <c r="DM61" s="94">
        <f>+DM28+DM39+DM47+DM57+DM59</f>
        <v>-328847000</v>
      </c>
      <c r="DN61" s="94">
        <f>+DN28+DN39+DN47+DN57+DN59</f>
        <v>-328847000</v>
      </c>
      <c r="DP61" s="94">
        <f>+DP28+DP39+DP47+DP57+DP59</f>
        <v>-46463000</v>
      </c>
      <c r="DQ61" s="94">
        <f>+DQ28+DQ39+DQ47+DQ57+DQ59</f>
        <v>-52971000</v>
      </c>
      <c r="DR61" s="94">
        <f>+DR28+DR39+DR47+DR57+DR59</f>
        <v>1406756000</v>
      </c>
      <c r="DS61" s="94">
        <f>+DS28+DS39+DS47+DS57+DS59</f>
        <v>921455000</v>
      </c>
      <c r="DT61" s="94">
        <f>+DT28+DT39+DT47+DT57+DT59</f>
        <v>921455000</v>
      </c>
    </row>
    <row r="62" spans="1:124" ht="27.5" customHeight="1" x14ac:dyDescent="0.25">
      <c r="A62" s="22" t="s">
        <v>377</v>
      </c>
      <c r="B62" s="22" t="s">
        <v>377</v>
      </c>
      <c r="D62" s="255">
        <f>HLOOKUP(D$7,$AL$7:$CD$75,$AJ62,FALSE)</f>
        <v>341577000</v>
      </c>
      <c r="F62" s="255">
        <f>HLOOKUP(F$7,$AL$7:$CD$75,$AJ62,FALSE)</f>
        <v>492169000</v>
      </c>
      <c r="H62" s="255">
        <f>HLOOKUP(H$7,$AL$7:$CD$75,$AJ62,FALSE)</f>
        <v>485602000</v>
      </c>
      <c r="J62" s="255">
        <f>HLOOKUP(J$7,$CD$7:$DU$75,$AJ62,FALSE)</f>
        <v>339471000</v>
      </c>
      <c r="L62" s="255">
        <f>HLOOKUP(L$7,$CD$7:$DU$75,$AJ62,FALSE)</f>
        <v>464448000</v>
      </c>
      <c r="N62" s="255">
        <f>HLOOKUP(N$7,$CD$7:$DU$75,$AJ62,FALSE)</f>
        <v>600162000</v>
      </c>
      <c r="P62" s="198">
        <f t="shared" si="93"/>
        <v>-150592000</v>
      </c>
      <c r="R62" s="198">
        <f t="shared" si="94"/>
        <v>6567000</v>
      </c>
      <c r="Z62" s="198">
        <f t="shared" si="95"/>
        <v>-124977000</v>
      </c>
      <c r="AB62" s="198">
        <f t="shared" si="96"/>
        <v>-135714000</v>
      </c>
      <c r="AJ62" s="253">
        <f t="shared" si="92"/>
        <v>56</v>
      </c>
      <c r="AL62" s="276"/>
      <c r="AN62" s="157">
        <f>+AX63</f>
        <v>339471000</v>
      </c>
      <c r="AO62" s="157">
        <f>+AN63</f>
        <v>313014000</v>
      </c>
      <c r="AP62" s="157">
        <f>+AO63</f>
        <v>341577000</v>
      </c>
      <c r="AQ62" s="157">
        <f>+AP63</f>
        <v>377365000</v>
      </c>
      <c r="AR62" s="157">
        <f>+AX63</f>
        <v>339471000</v>
      </c>
      <c r="AT62" s="157">
        <f>+BD63</f>
        <v>464448000</v>
      </c>
      <c r="AU62" s="157">
        <f>+AT63</f>
        <v>470773000</v>
      </c>
      <c r="AV62" s="157">
        <f>+AU63</f>
        <v>492169000</v>
      </c>
      <c r="AW62" s="157">
        <f>+AV63</f>
        <v>498946000</v>
      </c>
      <c r="AX62" s="157">
        <f>+BD63</f>
        <v>464448000</v>
      </c>
      <c r="AZ62" s="157">
        <f>+BJ63</f>
        <v>600162000</v>
      </c>
      <c r="BA62" s="157">
        <f>+AZ63</f>
        <v>508254000</v>
      </c>
      <c r="BB62" s="157">
        <f>+BA63</f>
        <v>485602000</v>
      </c>
      <c r="BC62" s="157">
        <f>+BB63</f>
        <v>453516000</v>
      </c>
      <c r="BD62" s="157">
        <f>+BJ63</f>
        <v>600162000</v>
      </c>
      <c r="BF62" s="157">
        <f>+BP63</f>
        <v>581687000</v>
      </c>
      <c r="BG62" s="157">
        <f>+BF63</f>
        <v>549755000</v>
      </c>
      <c r="BH62" s="157">
        <f>+BG63</f>
        <v>544321000</v>
      </c>
      <c r="BI62" s="157">
        <f>+BH63</f>
        <v>561690000</v>
      </c>
      <c r="BJ62" s="157">
        <f>+BP63</f>
        <v>581687000</v>
      </c>
      <c r="BL62" s="157">
        <f>+BV63</f>
        <v>732626000</v>
      </c>
      <c r="BM62" s="157">
        <f>+BL63</f>
        <v>664710000</v>
      </c>
      <c r="BN62" s="157">
        <f>+BM63</f>
        <v>665506000</v>
      </c>
      <c r="BO62" s="157">
        <f>+BN63</f>
        <v>663401000</v>
      </c>
      <c r="BP62" s="157">
        <f>+BV63</f>
        <v>732626000</v>
      </c>
      <c r="BR62" s="157">
        <v>1061473000</v>
      </c>
      <c r="BS62" s="157">
        <v>1005477000</v>
      </c>
      <c r="BT62" s="157">
        <v>792258000</v>
      </c>
      <c r="BU62" s="157">
        <v>782015000</v>
      </c>
      <c r="BV62" s="157">
        <f>+BR62</f>
        <v>1061473000</v>
      </c>
      <c r="BX62" s="157">
        <v>140018000</v>
      </c>
      <c r="BY62" s="157">
        <v>93555000</v>
      </c>
      <c r="BZ62" s="157">
        <v>87047000</v>
      </c>
      <c r="CA62" s="157">
        <v>1546774000</v>
      </c>
      <c r="CB62" s="157">
        <f>+BX62</f>
        <v>140018000</v>
      </c>
      <c r="CD62" s="167"/>
      <c r="CF62" s="157">
        <f>+$AN62</f>
        <v>339471000</v>
      </c>
      <c r="CG62" s="157">
        <f>+$AN62</f>
        <v>339471000</v>
      </c>
      <c r="CH62" s="157">
        <f>+$AN62</f>
        <v>339471000</v>
      </c>
      <c r="CI62" s="157">
        <f>+$AN62</f>
        <v>339471000</v>
      </c>
      <c r="CJ62" s="157">
        <f>+$AN62</f>
        <v>339471000</v>
      </c>
      <c r="CL62" s="157">
        <f>+$AT62</f>
        <v>464448000</v>
      </c>
      <c r="CM62" s="157">
        <f>+$AT62</f>
        <v>464448000</v>
      </c>
      <c r="CN62" s="157">
        <f>+$AT62</f>
        <v>464448000</v>
      </c>
      <c r="CO62" s="157">
        <f>+$AT62</f>
        <v>464448000</v>
      </c>
      <c r="CP62" s="157">
        <f>+$AT62</f>
        <v>464448000</v>
      </c>
      <c r="CR62" s="157">
        <f>+$AZ62</f>
        <v>600162000</v>
      </c>
      <c r="CS62" s="157">
        <f>+$AZ62</f>
        <v>600162000</v>
      </c>
      <c r="CT62" s="157">
        <f>+$AZ62</f>
        <v>600162000</v>
      </c>
      <c r="CU62" s="157">
        <f>+$AZ62</f>
        <v>600162000</v>
      </c>
      <c r="CV62" s="157">
        <f>+$AZ62</f>
        <v>600162000</v>
      </c>
      <c r="CX62" s="157">
        <f>+BF62</f>
        <v>581687000</v>
      </c>
      <c r="CY62" s="157">
        <f>+$BF62</f>
        <v>581687000</v>
      </c>
      <c r="CZ62" s="157">
        <f>+$BF62</f>
        <v>581687000</v>
      </c>
      <c r="DA62" s="157">
        <f>+$BF62</f>
        <v>581687000</v>
      </c>
      <c r="DB62" s="157">
        <f>+BJ62</f>
        <v>581687000</v>
      </c>
      <c r="DD62" s="157">
        <f>+$BL62</f>
        <v>732626000</v>
      </c>
      <c r="DE62" s="157">
        <f>+$BL62</f>
        <v>732626000</v>
      </c>
      <c r="DF62" s="157">
        <f>+$BL62</f>
        <v>732626000</v>
      </c>
      <c r="DG62" s="157">
        <f>+$BL62</f>
        <v>732626000</v>
      </c>
      <c r="DH62" s="157">
        <f>+BP62</f>
        <v>732626000</v>
      </c>
      <c r="DJ62" s="157">
        <f>+$BR62</f>
        <v>1061473000</v>
      </c>
      <c r="DK62" s="157">
        <f>+$BR62</f>
        <v>1061473000</v>
      </c>
      <c r="DL62" s="157">
        <f>+$BR62</f>
        <v>1061473000</v>
      </c>
      <c r="DM62" s="157">
        <f>+$BR62</f>
        <v>1061473000</v>
      </c>
      <c r="DN62" s="157">
        <f>+BV62</f>
        <v>1061473000</v>
      </c>
      <c r="DP62" s="157">
        <f>+$BX62</f>
        <v>140018000</v>
      </c>
      <c r="DQ62" s="157">
        <f>+$BX62</f>
        <v>140018000</v>
      </c>
      <c r="DR62" s="157">
        <f>+$BX62</f>
        <v>140018000</v>
      </c>
      <c r="DS62" s="157">
        <f>+$BX62</f>
        <v>140018000</v>
      </c>
      <c r="DT62" s="157">
        <f>+CB62</f>
        <v>140018000</v>
      </c>
    </row>
    <row r="63" spans="1:124" ht="27.5" customHeight="1" x14ac:dyDescent="0.25">
      <c r="A63" s="22" t="s">
        <v>378</v>
      </c>
      <c r="B63" s="22" t="s">
        <v>378</v>
      </c>
      <c r="D63" s="260">
        <f>SUM(D61:D62)</f>
        <v>377365000</v>
      </c>
      <c r="F63" s="260">
        <f>SUM(F61:F62)</f>
        <v>498946000</v>
      </c>
      <c r="H63" s="260">
        <f>SUM(H61:H62)</f>
        <v>453516000</v>
      </c>
      <c r="J63" s="260">
        <f>SUM(J61:J62)</f>
        <v>377365000</v>
      </c>
      <c r="L63" s="260">
        <f>SUM(L61:L62)</f>
        <v>498946000</v>
      </c>
      <c r="N63" s="260">
        <f>SUM(N61:N62)</f>
        <v>453516000</v>
      </c>
      <c r="P63" s="198">
        <f t="shared" si="93"/>
        <v>-121581000</v>
      </c>
      <c r="R63" s="198">
        <f t="shared" si="94"/>
        <v>45430000</v>
      </c>
      <c r="Z63" s="198">
        <f t="shared" si="95"/>
        <v>-121581000</v>
      </c>
      <c r="AB63" s="198">
        <f t="shared" si="96"/>
        <v>45430000</v>
      </c>
      <c r="AJ63" s="253">
        <f t="shared" si="92"/>
        <v>57</v>
      </c>
      <c r="AL63" s="276"/>
      <c r="AN63" s="261">
        <f>SUM(AN61:AN62)</f>
        <v>313014000</v>
      </c>
      <c r="AO63" s="261">
        <f>SUM(AO61:AO62)</f>
        <v>341577000</v>
      </c>
      <c r="AP63" s="261">
        <f>SUM(AP61:AP62)</f>
        <v>377365000</v>
      </c>
      <c r="AQ63" s="261">
        <f>SUM(AQ61:AQ62)</f>
        <v>377365000</v>
      </c>
      <c r="AR63" s="261">
        <f>SUM(AR61:AR62)</f>
        <v>377365000</v>
      </c>
      <c r="AT63" s="261">
        <f>SUM(AT61:AT62)</f>
        <v>470773000</v>
      </c>
      <c r="AU63" s="261">
        <f>SUM(AU61:AU62)</f>
        <v>492169000</v>
      </c>
      <c r="AV63" s="261">
        <f>SUM(AV61:AV62)</f>
        <v>498946000</v>
      </c>
      <c r="AW63" s="261">
        <f>SUM(AW61:AW62)</f>
        <v>339471000</v>
      </c>
      <c r="AX63" s="261">
        <f>SUM(AX61:AX62)</f>
        <v>339471000</v>
      </c>
      <c r="AZ63" s="261">
        <f>SUM(AZ61:AZ62)</f>
        <v>508254000</v>
      </c>
      <c r="BA63" s="261">
        <f>SUM(BA61:BA62)</f>
        <v>485602000</v>
      </c>
      <c r="BB63" s="261">
        <f>SUM(BB61:BB62)</f>
        <v>453516000</v>
      </c>
      <c r="BC63" s="261">
        <f>SUM(BC61:BC62)</f>
        <v>464448000</v>
      </c>
      <c r="BD63" s="261">
        <f>SUM(BD61:BD62)</f>
        <v>464448000</v>
      </c>
      <c r="BF63" s="261">
        <f>SUM(BF61:BF62)</f>
        <v>549755000</v>
      </c>
      <c r="BG63" s="261">
        <f>SUM(BG61:BG62)</f>
        <v>544321000</v>
      </c>
      <c r="BH63" s="261">
        <f>SUM(BH61:BH62)</f>
        <v>561690000</v>
      </c>
      <c r="BI63" s="261">
        <f>SUM(BI61:BI62)</f>
        <v>600162000</v>
      </c>
      <c r="BJ63" s="261">
        <f>SUM(BJ61:BJ62)</f>
        <v>600162000</v>
      </c>
      <c r="BL63" s="261">
        <f>SUM(BL61:BL62)</f>
        <v>664710000</v>
      </c>
      <c r="BM63" s="261">
        <f>SUM(BM61:BM62)</f>
        <v>665506000</v>
      </c>
      <c r="BN63" s="261">
        <f>SUM(BN61:BN62)</f>
        <v>663401000</v>
      </c>
      <c r="BO63" s="261">
        <f>SUM(BO61:BO62)</f>
        <v>581687000</v>
      </c>
      <c r="BP63" s="261">
        <f>SUM(BP61:BP62)</f>
        <v>581687000</v>
      </c>
      <c r="BR63" s="261">
        <f>SUM(BR61:BR62)</f>
        <v>1005477000</v>
      </c>
      <c r="BS63" s="261">
        <f>SUM(BS61:BS62)</f>
        <v>792258000</v>
      </c>
      <c r="BT63" s="261">
        <f>SUM(BT61:BT62)</f>
        <v>782015000</v>
      </c>
      <c r="BU63" s="261">
        <f>SUM(BU61:BU62)</f>
        <v>732626000</v>
      </c>
      <c r="BV63" s="261">
        <f>SUM(BV61:BV62)</f>
        <v>732626000</v>
      </c>
      <c r="BX63" s="261">
        <f>SUM(BX61:BX62)</f>
        <v>93555000</v>
      </c>
      <c r="BY63" s="261">
        <f>SUM(BY61:BY62)</f>
        <v>87047000</v>
      </c>
      <c r="BZ63" s="261">
        <f>SUM(BZ61:BZ62)</f>
        <v>1546774000</v>
      </c>
      <c r="CA63" s="261">
        <f>SUM(CA61:CA62)</f>
        <v>1061473000</v>
      </c>
      <c r="CB63" s="261">
        <f>SUM(CB61:CB62)</f>
        <v>1061473000</v>
      </c>
      <c r="CD63" s="172"/>
      <c r="CF63" s="261">
        <f>SUM(CF61:CF62)</f>
        <v>313014000</v>
      </c>
      <c r="CG63" s="261">
        <f>SUM(CG61:CG62)</f>
        <v>341577000</v>
      </c>
      <c r="CH63" s="261">
        <f>SUM(CH61:CH62)</f>
        <v>377365000</v>
      </c>
      <c r="CI63" s="261">
        <f>SUM(CI61:CI62)</f>
        <v>377365000</v>
      </c>
      <c r="CJ63" s="261">
        <f>SUM(CJ61:CJ62)</f>
        <v>377365000</v>
      </c>
      <c r="CL63" s="261">
        <f>SUM(CL61:CL62)</f>
        <v>470773000</v>
      </c>
      <c r="CM63" s="261">
        <f>SUM(CM61:CM62)</f>
        <v>492169000</v>
      </c>
      <c r="CN63" s="261">
        <f>SUM(CN61:CN62)</f>
        <v>498946000</v>
      </c>
      <c r="CO63" s="261">
        <f>SUM(CO61:CO62)</f>
        <v>339471000</v>
      </c>
      <c r="CP63" s="261">
        <f>SUM(CP61:CP62)</f>
        <v>339471000</v>
      </c>
      <c r="CR63" s="261">
        <f>SUM(CR61:CR62)</f>
        <v>508254000</v>
      </c>
      <c r="CS63" s="261">
        <f>SUM(CS61:CS62)</f>
        <v>485602000</v>
      </c>
      <c r="CT63" s="261">
        <f>SUM(CT61:CT62)</f>
        <v>453516000</v>
      </c>
      <c r="CU63" s="261">
        <f>SUM(CU61:CU62)</f>
        <v>464448000</v>
      </c>
      <c r="CV63" s="261">
        <f>SUM(CV61:CV62)</f>
        <v>464448000</v>
      </c>
      <c r="CX63" s="261">
        <f>SUM(CX61:CX62)</f>
        <v>549755000</v>
      </c>
      <c r="CY63" s="261">
        <f>SUM(CY61:CY62)</f>
        <v>544321000</v>
      </c>
      <c r="CZ63" s="261">
        <f>SUM(CZ61:CZ62)</f>
        <v>561690000</v>
      </c>
      <c r="DA63" s="261">
        <f>SUM(DA61:DA62)</f>
        <v>600162000</v>
      </c>
      <c r="DB63" s="261">
        <f>SUM(DB61:DB62)</f>
        <v>600162000</v>
      </c>
      <c r="DD63" s="261">
        <f>SUM(DD61:DD62)</f>
        <v>664710000</v>
      </c>
      <c r="DE63" s="261">
        <f>SUM(DE61:DE62)</f>
        <v>665506000</v>
      </c>
      <c r="DF63" s="261">
        <f>SUM(DF61:DF62)</f>
        <v>663401000</v>
      </c>
      <c r="DG63" s="261">
        <f>SUM(DG61:DG62)</f>
        <v>581687000</v>
      </c>
      <c r="DH63" s="261">
        <f>SUM(DH61:DH62)</f>
        <v>581687000</v>
      </c>
      <c r="DJ63" s="261">
        <f>SUM(DJ61:DJ62)</f>
        <v>1005477000</v>
      </c>
      <c r="DK63" s="261">
        <f>SUM(DK61:DK62)</f>
        <v>792258000</v>
      </c>
      <c r="DL63" s="261">
        <f>SUM(DL61:DL62)</f>
        <v>782015000</v>
      </c>
      <c r="DM63" s="261">
        <f>SUM(DM61:DM62)</f>
        <v>732626000</v>
      </c>
      <c r="DN63" s="261">
        <f>SUM(DN61:DN62)</f>
        <v>732626000</v>
      </c>
      <c r="DP63" s="261">
        <f>SUM(DP61:DP62)</f>
        <v>93555000</v>
      </c>
      <c r="DQ63" s="261">
        <f>SUM(DQ61:DQ62)</f>
        <v>87047000</v>
      </c>
      <c r="DR63" s="261">
        <f>SUM(DR61:DR62)</f>
        <v>1546774000</v>
      </c>
      <c r="DS63" s="261">
        <f>SUM(DS61:DS62)</f>
        <v>1061473000</v>
      </c>
      <c r="DT63" s="261">
        <f>SUM(DT61:DT62)</f>
        <v>1061473000</v>
      </c>
    </row>
    <row r="64" spans="1:124" ht="16.649999999999999" customHeight="1" x14ac:dyDescent="0.25">
      <c r="D64" s="103"/>
      <c r="F64" s="103"/>
      <c r="H64" s="103"/>
      <c r="J64" s="103"/>
      <c r="L64" s="103"/>
      <c r="N64" s="103"/>
      <c r="Z64" s="198">
        <f t="shared" si="95"/>
        <v>0</v>
      </c>
      <c r="AB64" s="198">
        <f t="shared" si="96"/>
        <v>0</v>
      </c>
      <c r="AJ64" s="253">
        <f t="shared" si="92"/>
        <v>58</v>
      </c>
      <c r="AL64" s="240"/>
      <c r="AN64" s="104"/>
      <c r="AO64" s="104"/>
      <c r="AP64" s="104"/>
      <c r="AQ64" s="104"/>
      <c r="AR64" s="104"/>
      <c r="AT64" s="104"/>
      <c r="AU64" s="104"/>
      <c r="AV64" s="104"/>
      <c r="AW64" s="104"/>
      <c r="AX64" s="104"/>
      <c r="AZ64" s="104"/>
      <c r="BA64" s="104"/>
      <c r="BB64" s="104"/>
      <c r="BC64" s="104"/>
      <c r="BD64" s="104"/>
      <c r="BF64" s="104"/>
      <c r="BG64" s="104"/>
      <c r="BH64" s="104"/>
      <c r="BI64" s="104"/>
      <c r="BJ64" s="104"/>
      <c r="BL64" s="104"/>
      <c r="BM64" s="104"/>
      <c r="BN64" s="104"/>
      <c r="BO64" s="104"/>
      <c r="BP64" s="104"/>
      <c r="BR64" s="104"/>
      <c r="BS64" s="104"/>
      <c r="BT64" s="104"/>
      <c r="BU64" s="104"/>
      <c r="BV64" s="104"/>
      <c r="BX64" s="104"/>
      <c r="BY64" s="104"/>
      <c r="BZ64" s="104"/>
      <c r="CA64" s="104"/>
      <c r="CB64" s="104"/>
      <c r="CD64" s="167"/>
      <c r="CF64" s="104"/>
      <c r="CG64" s="104"/>
      <c r="CH64" s="104"/>
      <c r="CI64" s="104"/>
      <c r="CJ64" s="104"/>
      <c r="CL64" s="104"/>
      <c r="CM64" s="104"/>
      <c r="CN64" s="104"/>
      <c r="CO64" s="104"/>
      <c r="CP64" s="104"/>
      <c r="CR64" s="104"/>
      <c r="CS64" s="104"/>
      <c r="CT64" s="104"/>
      <c r="CU64" s="104"/>
      <c r="CV64" s="104"/>
      <c r="CX64" s="104"/>
      <c r="CY64" s="104"/>
      <c r="CZ64" s="104"/>
      <c r="DA64" s="104"/>
      <c r="DB64" s="104"/>
      <c r="DD64" s="104"/>
      <c r="DE64" s="104"/>
      <c r="DF64" s="104"/>
      <c r="DG64" s="104"/>
      <c r="DH64" s="104"/>
      <c r="DJ64" s="104"/>
      <c r="DK64" s="104"/>
      <c r="DL64" s="104"/>
      <c r="DM64" s="104"/>
      <c r="DN64" s="104"/>
      <c r="DP64" s="104"/>
      <c r="DQ64" s="104"/>
      <c r="DR64" s="104"/>
      <c r="DS64" s="104"/>
      <c r="DT64" s="104"/>
    </row>
    <row r="65" spans="1:124" ht="16.649999999999999" customHeight="1" x14ac:dyDescent="0.25">
      <c r="A65" s="22" t="s">
        <v>379</v>
      </c>
      <c r="B65" s="22" t="s">
        <v>379</v>
      </c>
      <c r="Z65" s="198">
        <f t="shared" si="95"/>
        <v>0</v>
      </c>
      <c r="AB65" s="198">
        <f t="shared" si="96"/>
        <v>0</v>
      </c>
      <c r="AJ65" s="253">
        <f t="shared" si="92"/>
        <v>59</v>
      </c>
      <c r="AL65" s="240"/>
      <c r="CD65" s="167"/>
    </row>
    <row r="66" spans="1:124" ht="39.15" customHeight="1" x14ac:dyDescent="0.25">
      <c r="A66" s="256" t="str">
        <f>IF(T66=V66,T66,"Cash paid (received) for income taxes, net from continuing operations")</f>
        <v>Cash paid for income taxes, net from continuing operations</v>
      </c>
      <c r="B66" s="256" t="str">
        <f>IF(AD66=AF66,AD66,"Cash paid (received) for income taxes, net from continuing operations")</f>
        <v>Cash paid (received) for income taxes, net from continuing operations</v>
      </c>
      <c r="D66" s="83">
        <f>HLOOKUP(D$7,$AL$7:$CD$75,$AJ66,FALSE)</f>
        <v>10990000</v>
      </c>
      <c r="F66" s="83">
        <f>HLOOKUP(F$7,$AL$7:$CD$75,$AJ66,FALSE)</f>
        <v>22699000</v>
      </c>
      <c r="H66" s="83">
        <f>HLOOKUP(H$7,$AL$7:$CD$75,$AJ66,FALSE)</f>
        <v>564000</v>
      </c>
      <c r="J66" s="83">
        <f>HLOOKUP(J$7,$CD$7:$DU$75,$AJ66,FALSE)</f>
        <v>21990000</v>
      </c>
      <c r="L66" s="83">
        <f>HLOOKUP(L$7,$CD$7:$DU$75,$AJ66,FALSE)</f>
        <v>-2440000</v>
      </c>
      <c r="N66" s="83">
        <f>HLOOKUP(N$7,$CD$7:$DU$75,$AJ66,FALSE)</f>
        <v>4725000</v>
      </c>
      <c r="P66" s="198">
        <f>+D66-F66</f>
        <v>-11709000</v>
      </c>
      <c r="R66" s="198">
        <f>+F66-H66</f>
        <v>22135000</v>
      </c>
      <c r="T66" s="54" t="str">
        <f>IF(D66&gt;0,"Cash paid for income taxes, net from continuing operations","Cash received for income taxes, net from continuing operations")</f>
        <v>Cash paid for income taxes, net from continuing operations</v>
      </c>
      <c r="V66" s="54" t="str">
        <f>IF(F66&gt;0,"Cash paid for income taxes, net from continuing operations","Cash received for income taxes, net from continuing operations")</f>
        <v>Cash paid for income taxes, net from continuing operations</v>
      </c>
      <c r="X66" s="54" t="str">
        <f>IF(H66&gt;0,"Cash paid for income taxes, net from continuing operations","Cash received for income taxes, net from continuing operations")</f>
        <v>Cash paid for income taxes, net from continuing operations</v>
      </c>
      <c r="Z66" s="198">
        <f t="shared" si="95"/>
        <v>24430000</v>
      </c>
      <c r="AB66" s="198">
        <f t="shared" si="96"/>
        <v>-7165000</v>
      </c>
      <c r="AD66" s="54" t="str">
        <f>IF(J66&gt;0,"Cash paid for income taxes, net from continuing operations","Cash received for income taxes, net from continuing operations")</f>
        <v>Cash paid for income taxes, net from continuing operations</v>
      </c>
      <c r="AF66" s="54" t="str">
        <f>IF(L66&gt;0,"Cash paid for income taxes, net from continuing operations","Cash received for income taxes, net from continuing operations")</f>
        <v>Cash received for income taxes, net from continuing operations</v>
      </c>
      <c r="AH66" s="54" t="str">
        <f>IF(N66&gt;0,"Cash paid for income taxes, net from continuing operations","Cash received for income taxes, net from continuing operations")</f>
        <v>Cash paid for income taxes, net from continuing operations</v>
      </c>
      <c r="AJ66" s="253">
        <f t="shared" si="92"/>
        <v>60</v>
      </c>
      <c r="AL66" s="276"/>
      <c r="AN66" s="94">
        <v>-131000</v>
      </c>
      <c r="AO66" s="94">
        <v>11131000</v>
      </c>
      <c r="AP66" s="94">
        <v>10990000</v>
      </c>
      <c r="AR66" s="94">
        <f>SUM(AN66:AQ66)</f>
        <v>21990000</v>
      </c>
      <c r="AT66" s="94">
        <v>-28653000</v>
      </c>
      <c r="AU66" s="94">
        <v>3514000</v>
      </c>
      <c r="AV66" s="94">
        <v>22699000</v>
      </c>
      <c r="AW66" s="94">
        <v>4905000</v>
      </c>
      <c r="AX66" s="94">
        <f>SUM(AT66:AW66)</f>
        <v>2465000</v>
      </c>
      <c r="AZ66" s="94">
        <v>4000</v>
      </c>
      <c r="BA66" s="94">
        <v>4157000</v>
      </c>
      <c r="BB66" s="94">
        <v>564000</v>
      </c>
      <c r="BC66" s="94">
        <v>1076000</v>
      </c>
      <c r="BD66" s="94">
        <f>SUM(AZ66:BC66)</f>
        <v>5801000</v>
      </c>
      <c r="BF66" s="94">
        <v>-2451000</v>
      </c>
      <c r="BG66" s="94">
        <v>-118000</v>
      </c>
      <c r="BH66" s="94">
        <v>-246000</v>
      </c>
      <c r="BI66" s="94">
        <v>-30101000</v>
      </c>
      <c r="BJ66" s="94">
        <f>SUM(BF66:BI66)</f>
        <v>-32916000</v>
      </c>
      <c r="BL66" s="94">
        <v>-2041000</v>
      </c>
      <c r="BM66" s="94">
        <v>-822000</v>
      </c>
      <c r="BN66" s="94">
        <v>771000</v>
      </c>
      <c r="BO66" s="94">
        <v>-819000</v>
      </c>
      <c r="BP66" s="94">
        <f>SUM(BL66:BO66)</f>
        <v>-2911000</v>
      </c>
      <c r="BR66" s="94">
        <v>110000</v>
      </c>
      <c r="BS66" s="94">
        <v>6042000</v>
      </c>
      <c r="BT66" s="94">
        <v>19000</v>
      </c>
      <c r="BU66" s="94">
        <v>-13515000</v>
      </c>
      <c r="BV66" s="94">
        <f>SUM(BR66:BU66)</f>
        <v>-7344000</v>
      </c>
      <c r="BX66" s="94">
        <v>1100000</v>
      </c>
      <c r="BY66" s="94">
        <v>-558000</v>
      </c>
      <c r="BZ66" s="94">
        <v>125000</v>
      </c>
      <c r="CA66" s="94">
        <v>438875000</v>
      </c>
      <c r="CB66" s="94">
        <f>SUM(BX66:CA66)</f>
        <v>439542000</v>
      </c>
      <c r="CD66" s="167"/>
      <c r="CF66" s="94">
        <f>+AN66</f>
        <v>-131000</v>
      </c>
      <c r="CG66" s="94">
        <f>SUM($AN66:AO66)</f>
        <v>11000000</v>
      </c>
      <c r="CH66" s="94">
        <f>SUM($AN66:AP66)</f>
        <v>21990000</v>
      </c>
      <c r="CI66" s="94">
        <f>SUM($AN66:AQ66)</f>
        <v>21990000</v>
      </c>
      <c r="CJ66" s="94">
        <f>+AR66</f>
        <v>21990000</v>
      </c>
      <c r="CL66" s="94">
        <f>+AT66</f>
        <v>-28653000</v>
      </c>
      <c r="CM66" s="94">
        <f>SUM($AT66:AU66)</f>
        <v>-25139000</v>
      </c>
      <c r="CN66" s="94">
        <f>SUM($AT66:AV66)</f>
        <v>-2440000</v>
      </c>
      <c r="CO66" s="94">
        <f>SUM($AT66:AW66)</f>
        <v>2465000</v>
      </c>
      <c r="CP66" s="94">
        <f>+AX66</f>
        <v>2465000</v>
      </c>
      <c r="CR66" s="94">
        <f>+AZ66</f>
        <v>4000</v>
      </c>
      <c r="CS66" s="94">
        <f>SUM($AZ66:BA66)</f>
        <v>4161000</v>
      </c>
      <c r="CT66" s="94">
        <f>SUM($AZ66:BB66)</f>
        <v>4725000</v>
      </c>
      <c r="CU66" s="94">
        <f>SUM($AZ66:BC66)</f>
        <v>5801000</v>
      </c>
      <c r="CV66" s="94">
        <f>+BD66</f>
        <v>5801000</v>
      </c>
      <c r="CX66" s="94">
        <f>+BF66</f>
        <v>-2451000</v>
      </c>
      <c r="CY66" s="94">
        <f>SUM($BF66:BG66)</f>
        <v>-2569000</v>
      </c>
      <c r="CZ66" s="94">
        <f>SUM($BF66:BH66)</f>
        <v>-2815000</v>
      </c>
      <c r="DA66" s="94">
        <f>SUM($BF66:BI66)</f>
        <v>-32916000</v>
      </c>
      <c r="DB66" s="94">
        <f>+BJ66</f>
        <v>-32916000</v>
      </c>
      <c r="DD66" s="94">
        <f>+BL66</f>
        <v>-2041000</v>
      </c>
      <c r="DE66" s="94">
        <f>SUM($BL66:BM66)</f>
        <v>-2863000</v>
      </c>
      <c r="DF66" s="94">
        <f>SUM($BL66:BN66)</f>
        <v>-2092000</v>
      </c>
      <c r="DG66" s="94">
        <f>SUM($BL66:BO66)</f>
        <v>-2911000</v>
      </c>
      <c r="DH66" s="94">
        <f>+BP66</f>
        <v>-2911000</v>
      </c>
      <c r="DJ66" s="94">
        <f>+BR66</f>
        <v>110000</v>
      </c>
      <c r="DK66" s="94">
        <f>SUM($BR66:BS66)</f>
        <v>6152000</v>
      </c>
      <c r="DL66" s="94">
        <f>SUM($BR66:BT66)</f>
        <v>6171000</v>
      </c>
      <c r="DM66" s="94">
        <f>SUM($BR66:BU66)</f>
        <v>-7344000</v>
      </c>
      <c r="DN66" s="94">
        <f>+BV66</f>
        <v>-7344000</v>
      </c>
      <c r="DP66" s="94">
        <f>+BX66</f>
        <v>1100000</v>
      </c>
      <c r="DQ66" s="94">
        <f>SUM($BX66:BY66)</f>
        <v>542000</v>
      </c>
      <c r="DR66" s="94">
        <f>SUM($BX66:BZ66)</f>
        <v>667000</v>
      </c>
      <c r="DS66" s="94">
        <f>SUM($BX66:CA66)</f>
        <v>439542000</v>
      </c>
      <c r="DT66" s="94">
        <f>+CB66</f>
        <v>439542000</v>
      </c>
    </row>
    <row r="67" spans="1:124" ht="39.15" customHeight="1" x14ac:dyDescent="0.25">
      <c r="A67" s="256" t="str">
        <f>IF(T67=V67,T67,"Cash paid (received) for income taxes, net from discontinued operations")</f>
        <v>Cash received for income taxes, net from discontinued operations</v>
      </c>
      <c r="B67" s="256" t="str">
        <f>IF(AD67=AF67,AD67,"Cash paid (received) for income taxes, net from discontinued operations")</f>
        <v>Cash received for income taxes, net from discontinued operations</v>
      </c>
      <c r="D67" s="83">
        <f>HLOOKUP(D$7,$AL$7:$CD$75,$AJ67,FALSE)</f>
        <v>-2486000</v>
      </c>
      <c r="F67" s="83">
        <f>HLOOKUP(F$7,$AL$7:$CD$75,$AJ67,FALSE)</f>
        <v>-912000</v>
      </c>
      <c r="H67" s="83">
        <f>HLOOKUP(H$7,$AL$7:$CD$75,$AJ67,FALSE)</f>
        <v>-1307000</v>
      </c>
      <c r="J67" s="83">
        <f>HLOOKUP(J$7,$CD$7:$DU$75,$AJ67,FALSE)</f>
        <v>-2486000</v>
      </c>
      <c r="L67" s="83">
        <f>HLOOKUP(L$7,$CD$7:$DU$75,$AJ67,FALSE)</f>
        <v>-1507000</v>
      </c>
      <c r="N67" s="83">
        <f>HLOOKUP(N$7,$CD$7:$DU$75,$AJ67,FALSE)</f>
        <v>-1307000</v>
      </c>
      <c r="P67" s="198">
        <f>+D67-F67</f>
        <v>-1574000</v>
      </c>
      <c r="R67" s="198">
        <f>+F67-H67</f>
        <v>395000</v>
      </c>
      <c r="T67" s="54" t="str">
        <f>IF(D67&gt;0,"Cash paid for income taxes, net from discontinued operations","Cash received for income taxes, net from discontinued operations")</f>
        <v>Cash received for income taxes, net from discontinued operations</v>
      </c>
      <c r="V67" s="54" t="str">
        <f>IF(F67&gt;0,"Cash paid for income taxes, net from discontinued operations","Cash received for income taxes, net from discontinued operations")</f>
        <v>Cash received for income taxes, net from discontinued operations</v>
      </c>
      <c r="X67" s="54" t="str">
        <f>IF(H67&gt;0,"Cash paid for income taxes, net from discontinued operations","Cash received for income taxes, net from discontinued operations")</f>
        <v>Cash received for income taxes, net from discontinued operations</v>
      </c>
      <c r="Z67" s="198">
        <f t="shared" si="95"/>
        <v>-979000</v>
      </c>
      <c r="AB67" s="198">
        <f t="shared" si="96"/>
        <v>-200000</v>
      </c>
      <c r="AD67" s="54" t="str">
        <f>IF(J67&gt;0,"Cash paid for income taxes, net from discontinued operations","Cash received for income taxes, net from discontinued operations")</f>
        <v>Cash received for income taxes, net from discontinued operations</v>
      </c>
      <c r="AF67" s="54" t="str">
        <f>IF(L67&gt;0,"Cash paid for income taxes, net from discontinued operations","Cash received for income taxes, net from discontinued operations")</f>
        <v>Cash received for income taxes, net from discontinued operations</v>
      </c>
      <c r="AH67" s="54" t="str">
        <f>IF(N67&gt;0,"Cash paid for income taxes, net from discontinued operations","Cash received for income taxes, net from discontinued operations")</f>
        <v>Cash received for income taxes, net from discontinued operations</v>
      </c>
      <c r="AJ67" s="253">
        <f t="shared" si="92"/>
        <v>61</v>
      </c>
      <c r="AL67" s="240"/>
      <c r="AN67" s="94">
        <v>0</v>
      </c>
      <c r="AP67" s="94">
        <v>-2486000</v>
      </c>
      <c r="AR67" s="94">
        <f>SUM(AN67:AQ67)</f>
        <v>-2486000</v>
      </c>
      <c r="AT67" s="94">
        <v>0</v>
      </c>
      <c r="AU67" s="94">
        <v>-595000</v>
      </c>
      <c r="AV67" s="94">
        <v>-912000</v>
      </c>
      <c r="AW67" s="94">
        <v>-1258000</v>
      </c>
      <c r="AX67" s="94">
        <f>SUM(AT67:AW67)</f>
        <v>-2765000</v>
      </c>
      <c r="BB67" s="94">
        <v>-1307000</v>
      </c>
      <c r="BC67" s="94">
        <v>-7025000</v>
      </c>
      <c r="BD67" s="94">
        <f>SUM(AZ67:BC67)</f>
        <v>-8332000</v>
      </c>
      <c r="BJ67" s="94">
        <f>SUM(BF67:BI67)</f>
        <v>0</v>
      </c>
      <c r="BP67" s="94">
        <f>SUM(BL67:BO67)</f>
        <v>0</v>
      </c>
      <c r="CD67" s="167"/>
      <c r="CF67" s="94">
        <f>+AN67</f>
        <v>0</v>
      </c>
      <c r="CG67" s="94">
        <f>SUM($AN67:AO67)</f>
        <v>0</v>
      </c>
      <c r="CH67" s="94">
        <f>SUM($AN67:AP67)</f>
        <v>-2486000</v>
      </c>
      <c r="CI67" s="94">
        <f>SUM($AN67:AQ67)</f>
        <v>-2486000</v>
      </c>
      <c r="CJ67" s="94">
        <f>+AR67</f>
        <v>-2486000</v>
      </c>
      <c r="CL67" s="94">
        <f>+AT67</f>
        <v>0</v>
      </c>
      <c r="CM67" s="94">
        <f>SUM($AT67:AU67)</f>
        <v>-595000</v>
      </c>
      <c r="CN67" s="94">
        <f>SUM($AT67:AV67)</f>
        <v>-1507000</v>
      </c>
      <c r="CO67" s="94">
        <f>SUM($AT67:AW67)</f>
        <v>-2765000</v>
      </c>
      <c r="CP67" s="94">
        <f>+AX67</f>
        <v>-2765000</v>
      </c>
      <c r="CR67" s="94">
        <f>+AZ67</f>
        <v>0</v>
      </c>
      <c r="CS67" s="94">
        <f>SUM($AZ67:BA67)</f>
        <v>0</v>
      </c>
      <c r="CT67" s="94">
        <f>SUM($AZ67:BB67)</f>
        <v>-1307000</v>
      </c>
      <c r="CU67" s="94">
        <f>SUM($AZ67:BC67)</f>
        <v>-8332000</v>
      </c>
      <c r="CV67" s="94">
        <f>+BD67</f>
        <v>-8332000</v>
      </c>
      <c r="CX67" s="94">
        <f>+BF67</f>
        <v>0</v>
      </c>
      <c r="CY67" s="94">
        <f>SUM($BF67:BG67)</f>
        <v>0</v>
      </c>
      <c r="CZ67" s="94">
        <f>SUM($BF67:BH67)</f>
        <v>0</v>
      </c>
      <c r="DA67" s="94">
        <f>SUM($BF67:BI67)</f>
        <v>0</v>
      </c>
      <c r="DB67" s="94">
        <f>+BJ67</f>
        <v>0</v>
      </c>
      <c r="DD67" s="94">
        <f>+BL67</f>
        <v>0</v>
      </c>
      <c r="DE67" s="94">
        <f>SUM($BL67:BM67)</f>
        <v>0</v>
      </c>
      <c r="DF67" s="94">
        <f>SUM($BL67:BN67)</f>
        <v>0</v>
      </c>
      <c r="DG67" s="94">
        <f>SUM($BL67:BO67)</f>
        <v>0</v>
      </c>
      <c r="DH67" s="94">
        <f>+BP67</f>
        <v>0</v>
      </c>
    </row>
    <row r="68" spans="1:124" ht="27.5" customHeight="1" x14ac:dyDescent="0.25">
      <c r="A68" s="259" t="s">
        <v>380</v>
      </c>
      <c r="B68" s="259" t="s">
        <v>380</v>
      </c>
      <c r="D68" s="83">
        <f>HLOOKUP(D$7,$AL$7:$CD$75,$AJ68,FALSE)</f>
        <v>0</v>
      </c>
      <c r="F68" s="83">
        <f>HLOOKUP(F$7,$AL$7:$CD$75,$AJ68,FALSE)</f>
        <v>0</v>
      </c>
      <c r="H68" s="83">
        <f>HLOOKUP(H$7,$AL$7:$CD$75,$AJ68,FALSE)</f>
        <v>0</v>
      </c>
      <c r="J68" s="83">
        <f>HLOOKUP(J$7,$CD$7:$DU$75,$AJ68,FALSE)</f>
        <v>-1758000</v>
      </c>
      <c r="L68" s="83">
        <f>HLOOKUP(L$7,$CD$7:$DU$75,$AJ68,FALSE)</f>
        <v>0</v>
      </c>
      <c r="N68" s="83">
        <f>HLOOKUP(N$7,$CD$7:$DU$75,$AJ68,FALSE)</f>
        <v>0</v>
      </c>
      <c r="P68" s="198">
        <f>+D68-F68</f>
        <v>0</v>
      </c>
      <c r="R68" s="198">
        <f>+F68-H68</f>
        <v>0</v>
      </c>
      <c r="Z68" s="198">
        <f t="shared" si="95"/>
        <v>-1758000</v>
      </c>
      <c r="AB68" s="198">
        <f t="shared" si="96"/>
        <v>0</v>
      </c>
      <c r="AJ68" s="253">
        <f t="shared" si="92"/>
        <v>62</v>
      </c>
      <c r="AL68" s="240"/>
      <c r="AN68" s="94">
        <v>0</v>
      </c>
      <c r="AO68" s="94">
        <v>-1758000</v>
      </c>
      <c r="AP68" s="94">
        <v>0</v>
      </c>
      <c r="AR68" s="94">
        <f>SUM(AN68:AQ68)</f>
        <v>-1758000</v>
      </c>
      <c r="AX68" s="94">
        <f>SUM(AT68:AW68)</f>
        <v>0</v>
      </c>
      <c r="BD68" s="94">
        <f>SUM(AZ68:BC68)</f>
        <v>0</v>
      </c>
      <c r="BJ68" s="94">
        <f>SUM(BF68:BI68)</f>
        <v>0</v>
      </c>
      <c r="BP68" s="94">
        <f>SUM(BL68:BO68)</f>
        <v>0</v>
      </c>
      <c r="CD68" s="167"/>
      <c r="CF68" s="94">
        <f>+AN68</f>
        <v>0</v>
      </c>
      <c r="CG68" s="94">
        <f>SUM($AN68:AO68)</f>
        <v>-1758000</v>
      </c>
      <c r="CH68" s="94">
        <f>SUM($AN68:AP68)</f>
        <v>-1758000</v>
      </c>
      <c r="CI68" s="94">
        <f>SUM($AN68:AQ68)</f>
        <v>-1758000</v>
      </c>
      <c r="CJ68" s="94">
        <f>+AR68</f>
        <v>-1758000</v>
      </c>
    </row>
    <row r="69" spans="1:124" ht="27.5" customHeight="1" x14ac:dyDescent="0.25">
      <c r="A69" s="259" t="s">
        <v>381</v>
      </c>
      <c r="B69" s="259" t="s">
        <v>381</v>
      </c>
      <c r="D69" s="83">
        <f>HLOOKUP(D$7,$AL$7:$CD$75,$AJ69,FALSE)</f>
        <v>2495000</v>
      </c>
      <c r="F69" s="83">
        <f>HLOOKUP(F$7,$AL$7:$CD$75,$AJ69,FALSE)</f>
        <v>2551000</v>
      </c>
      <c r="H69" s="83">
        <f>HLOOKUP(H$7,$AL$7:$CD$75,$AJ69,FALSE)</f>
        <v>2472000</v>
      </c>
      <c r="J69" s="83">
        <f>HLOOKUP(J$7,$CD$7:$DU$75,$AJ69,FALSE)</f>
        <v>7372000</v>
      </c>
      <c r="L69" s="83">
        <f>HLOOKUP(L$7,$CD$7:$DU$75,$AJ69,FALSE)</f>
        <v>7699000</v>
      </c>
      <c r="N69" s="83">
        <f>HLOOKUP(N$7,$CD$7:$DU$75,$AJ69,FALSE)</f>
        <v>5733000</v>
      </c>
      <c r="P69" s="198">
        <f>+D69-F69</f>
        <v>-56000</v>
      </c>
      <c r="R69" s="198">
        <f>+F69-H69</f>
        <v>79000</v>
      </c>
      <c r="Z69" s="198">
        <f t="shared" si="95"/>
        <v>-327000</v>
      </c>
      <c r="AB69" s="198">
        <f t="shared" si="96"/>
        <v>1966000</v>
      </c>
      <c r="AJ69" s="253">
        <f t="shared" si="92"/>
        <v>63</v>
      </c>
      <c r="AL69" s="240"/>
      <c r="AN69" s="94">
        <v>2338000</v>
      </c>
      <c r="AO69" s="94">
        <v>2539000</v>
      </c>
      <c r="AP69" s="94">
        <v>2495000</v>
      </c>
      <c r="AR69" s="94">
        <f>SUM(AN69:AQ69)</f>
        <v>7372000</v>
      </c>
      <c r="AT69" s="94">
        <v>2459000</v>
      </c>
      <c r="AU69" s="94">
        <f>5148000-2459000</f>
        <v>2689000</v>
      </c>
      <c r="AV69" s="94">
        <v>2551000</v>
      </c>
      <c r="AW69" s="94">
        <v>2594000</v>
      </c>
      <c r="AX69" s="94">
        <f>SUM(AT69:AW69)</f>
        <v>10293000</v>
      </c>
      <c r="AZ69" s="94">
        <v>2156000</v>
      </c>
      <c r="BA69" s="94">
        <v>1105000</v>
      </c>
      <c r="BB69" s="94">
        <v>2472000</v>
      </c>
      <c r="BC69" s="94">
        <v>2510000</v>
      </c>
      <c r="BD69" s="94">
        <f>SUM(AZ69:BC69)</f>
        <v>8243000</v>
      </c>
      <c r="BF69" s="94">
        <v>2535000</v>
      </c>
      <c r="BG69" s="94">
        <v>2528000</v>
      </c>
      <c r="BH69" s="94">
        <v>2454000</v>
      </c>
      <c r="BI69" s="94">
        <v>2591000</v>
      </c>
      <c r="BJ69" s="94">
        <f>SUM(BF69:BI69)</f>
        <v>10108000</v>
      </c>
      <c r="BL69" s="94">
        <v>2567000</v>
      </c>
      <c r="BM69" s="94">
        <v>2841000</v>
      </c>
      <c r="BN69" s="94">
        <v>2724000</v>
      </c>
      <c r="BO69" s="94">
        <v>2751000</v>
      </c>
      <c r="BP69" s="94">
        <f>SUM(BL69:BO69)</f>
        <v>10883000</v>
      </c>
      <c r="CD69" s="167"/>
      <c r="CF69" s="94">
        <f>+AN69</f>
        <v>2338000</v>
      </c>
      <c r="CG69" s="94">
        <f>SUM($AN69:AO69)</f>
        <v>4877000</v>
      </c>
      <c r="CH69" s="94">
        <f>SUM($AN69:AP69)</f>
        <v>7372000</v>
      </c>
      <c r="CI69" s="94">
        <f>SUM($AN69:AQ69)</f>
        <v>7372000</v>
      </c>
      <c r="CJ69" s="94">
        <f>+AR69</f>
        <v>7372000</v>
      </c>
      <c r="CL69" s="94">
        <f>+AT69</f>
        <v>2459000</v>
      </c>
      <c r="CM69" s="94">
        <f>SUM($AT69:AU69)</f>
        <v>5148000</v>
      </c>
      <c r="CN69" s="94">
        <f>SUM($AT69:AV69)</f>
        <v>7699000</v>
      </c>
      <c r="CO69" s="94">
        <f>SUM($AT69:AW69)</f>
        <v>10293000</v>
      </c>
      <c r="CP69" s="94">
        <f>+AX69</f>
        <v>10293000</v>
      </c>
      <c r="CR69" s="94">
        <f>+AZ69</f>
        <v>2156000</v>
      </c>
      <c r="CS69" s="94">
        <f>SUM($AZ69:BA69)</f>
        <v>3261000</v>
      </c>
      <c r="CT69" s="94">
        <f>SUM($AZ69:BB69)</f>
        <v>5733000</v>
      </c>
      <c r="CU69" s="94">
        <f>SUM($AZ69:BC69)</f>
        <v>8243000</v>
      </c>
      <c r="CV69" s="94">
        <f>+BD69</f>
        <v>8243000</v>
      </c>
      <c r="CX69" s="94">
        <f>+BF69</f>
        <v>2535000</v>
      </c>
      <c r="CY69" s="94">
        <f>SUM($BF69:BG69)</f>
        <v>5063000</v>
      </c>
      <c r="CZ69" s="94">
        <f>SUM($BF69:BH69)</f>
        <v>7517000</v>
      </c>
      <c r="DA69" s="94">
        <f>SUM($BF69:BI69)</f>
        <v>10108000</v>
      </c>
      <c r="DB69" s="94">
        <f>+BJ69</f>
        <v>10108000</v>
      </c>
      <c r="DD69" s="94">
        <f>+BL69</f>
        <v>2567000</v>
      </c>
      <c r="DE69" s="94">
        <f>SUM($BL69:BM69)</f>
        <v>5408000</v>
      </c>
      <c r="DF69" s="94">
        <f>SUM($BL69:BN69)</f>
        <v>8132000</v>
      </c>
      <c r="DG69" s="94">
        <f>SUM($BL69:BO69)</f>
        <v>10883000</v>
      </c>
      <c r="DH69" s="94">
        <f>+BP69</f>
        <v>10883000</v>
      </c>
    </row>
    <row r="70" spans="1:124" ht="16.649999999999999" customHeight="1" x14ac:dyDescent="0.25">
      <c r="Z70" s="198">
        <f t="shared" si="95"/>
        <v>0</v>
      </c>
      <c r="AB70" s="198">
        <f t="shared" si="96"/>
        <v>0</v>
      </c>
      <c r="AJ70" s="253">
        <f t="shared" si="92"/>
        <v>64</v>
      </c>
      <c r="AL70" s="240"/>
      <c r="CD70" s="167"/>
    </row>
    <row r="71" spans="1:124" ht="27.5" customHeight="1" x14ac:dyDescent="0.25">
      <c r="A71" s="22" t="s">
        <v>382</v>
      </c>
      <c r="Z71" s="198">
        <f t="shared" si="95"/>
        <v>0</v>
      </c>
      <c r="AB71" s="198">
        <f t="shared" si="96"/>
        <v>0</v>
      </c>
      <c r="AJ71" s="253">
        <f t="shared" si="92"/>
        <v>65</v>
      </c>
      <c r="AL71" s="240"/>
      <c r="CD71" s="167"/>
    </row>
    <row r="72" spans="1:124" ht="27.5" customHeight="1" x14ac:dyDescent="0.25">
      <c r="A72" s="259" t="s">
        <v>383</v>
      </c>
      <c r="B72" s="259" t="s">
        <v>383</v>
      </c>
      <c r="D72" s="83">
        <f>HLOOKUP(D$7,$AL$7:$CD$75,$AJ72,FALSE)</f>
        <v>0</v>
      </c>
      <c r="F72" s="83">
        <f>HLOOKUP(F$7,$AL$7:$CD$75,$AJ72,FALSE)</f>
        <v>0</v>
      </c>
      <c r="H72" s="83">
        <f>HLOOKUP(H$7,$AL$7:$CD$75,$AJ72,FALSE)</f>
        <v>0</v>
      </c>
      <c r="J72" s="83">
        <f>HLOOKUP(J$7,$CD$7:$DU$75,$AJ72,FALSE)</f>
        <v>0</v>
      </c>
      <c r="L72" s="83">
        <f>HLOOKUP(L$7,$CD$7:$DU$75,$AJ72,FALSE)</f>
        <v>0</v>
      </c>
      <c r="N72" s="83">
        <f>HLOOKUP(N$7,$CD$7:$DU$75,$AJ72,FALSE)</f>
        <v>0</v>
      </c>
      <c r="P72" s="198">
        <f>+D72-F72</f>
        <v>0</v>
      </c>
      <c r="R72" s="198">
        <f>+F72-H72</f>
        <v>0</v>
      </c>
      <c r="Z72" s="198">
        <f t="shared" si="95"/>
        <v>0</v>
      </c>
      <c r="AB72" s="198">
        <f t="shared" si="96"/>
        <v>0</v>
      </c>
      <c r="AJ72" s="253">
        <f t="shared" si="92"/>
        <v>66</v>
      </c>
      <c r="AL72" s="240"/>
      <c r="CD72" s="167"/>
      <c r="CF72" s="94">
        <f>+AN72</f>
        <v>0</v>
      </c>
      <c r="CG72" s="94">
        <f>SUM($AN72:AO72)</f>
        <v>0</v>
      </c>
      <c r="CH72" s="94">
        <f>SUM($AN72:AP72)</f>
        <v>0</v>
      </c>
      <c r="CI72" s="94">
        <f>SUM($AN72:AQ72)</f>
        <v>0</v>
      </c>
      <c r="CJ72" s="94">
        <f>+AR72</f>
        <v>0</v>
      </c>
      <c r="CL72" s="94">
        <f>+AT72</f>
        <v>0</v>
      </c>
      <c r="CM72" s="94">
        <f>SUM($AT72:AU72)</f>
        <v>0</v>
      </c>
      <c r="CN72" s="94">
        <f>SUM($AT72:AV72)</f>
        <v>0</v>
      </c>
      <c r="CO72" s="94">
        <f>SUM($AT72:AW72)</f>
        <v>0</v>
      </c>
      <c r="CP72" s="94">
        <f>+AX72</f>
        <v>0</v>
      </c>
      <c r="CR72" s="94">
        <f>+AZ72</f>
        <v>0</v>
      </c>
      <c r="CS72" s="94">
        <f>SUM($AZ72:BA72)</f>
        <v>0</v>
      </c>
      <c r="CT72" s="94">
        <f>SUM($AZ72:BB72)</f>
        <v>0</v>
      </c>
      <c r="CU72" s="94">
        <f>SUM($AZ72:BC72)</f>
        <v>0</v>
      </c>
      <c r="CV72" s="94">
        <f>+BD72</f>
        <v>0</v>
      </c>
      <c r="CX72" s="94">
        <f>+BF72</f>
        <v>0</v>
      </c>
      <c r="CY72" s="94">
        <f>SUM($BF72:BG72)</f>
        <v>0</v>
      </c>
      <c r="CZ72" s="94">
        <f>SUM($BF72:BH72)</f>
        <v>0</v>
      </c>
      <c r="DA72" s="94">
        <f>SUM($BF72:BI72)</f>
        <v>0</v>
      </c>
      <c r="DB72" s="94">
        <f>+BJ72</f>
        <v>0</v>
      </c>
      <c r="DD72" s="94">
        <f>+BL72</f>
        <v>0</v>
      </c>
      <c r="DE72" s="94">
        <f>SUM($BL72:BM72)</f>
        <v>0</v>
      </c>
      <c r="DF72" s="94">
        <f>SUM($BL72:BN72)</f>
        <v>0</v>
      </c>
      <c r="DG72" s="94">
        <f>SUM($BL72:BO72)</f>
        <v>0</v>
      </c>
      <c r="DH72" s="94">
        <f>+BP72</f>
        <v>0</v>
      </c>
      <c r="DJ72" s="94">
        <f>+BR72</f>
        <v>0</v>
      </c>
      <c r="DK72" s="94">
        <f>SUM($BR72:BS72)</f>
        <v>0</v>
      </c>
      <c r="DL72" s="94">
        <f>SUM($BR72:BT72)</f>
        <v>0</v>
      </c>
      <c r="DM72" s="94">
        <f>SUM($BR72:BU72)</f>
        <v>0</v>
      </c>
      <c r="DN72" s="94">
        <f>+BV72</f>
        <v>0</v>
      </c>
      <c r="DP72" s="94">
        <f>+BX72</f>
        <v>0</v>
      </c>
      <c r="DQ72" s="94">
        <f>SUM($BX72:BY72)</f>
        <v>0</v>
      </c>
      <c r="DR72" s="94">
        <f>SUM($BX72:BZ72)</f>
        <v>0</v>
      </c>
      <c r="DS72" s="94">
        <f>SUM($BX72:CA72)</f>
        <v>0</v>
      </c>
      <c r="DT72" s="94">
        <f>+CB72</f>
        <v>0</v>
      </c>
    </row>
    <row r="73" spans="1:124" ht="39.15" customHeight="1" x14ac:dyDescent="0.25">
      <c r="A73" s="259" t="s">
        <v>384</v>
      </c>
      <c r="B73" s="259" t="s">
        <v>384</v>
      </c>
      <c r="D73" s="83">
        <f>HLOOKUP(D$7,$AL$7:$CD$75,$AJ73,FALSE)</f>
        <v>1284000</v>
      </c>
      <c r="F73" s="83">
        <f>HLOOKUP(F$7,$AL$7:$CD$75,$AJ73,FALSE)</f>
        <v>0</v>
      </c>
      <c r="H73" s="83">
        <f>HLOOKUP(H$7,$AL$7:$CD$75,$AJ73,FALSE)</f>
        <v>69000</v>
      </c>
      <c r="J73" s="83">
        <f>HLOOKUP(J$7,$CD$7:$DU$75,$AJ73,FALSE)</f>
        <v>2327000</v>
      </c>
      <c r="L73" s="83">
        <f>HLOOKUP(L$7,$CD$7:$DU$75,$AJ73,FALSE)</f>
        <v>11677000</v>
      </c>
      <c r="N73" s="83">
        <f>HLOOKUP(N$7,$CD$7:$DU$75,$AJ73,FALSE)</f>
        <v>69000</v>
      </c>
      <c r="P73" s="198">
        <f>+D73-F73</f>
        <v>1284000</v>
      </c>
      <c r="R73" s="198">
        <f>+F73-H73</f>
        <v>-69000</v>
      </c>
      <c r="Z73" s="198">
        <f t="shared" si="95"/>
        <v>-9350000</v>
      </c>
      <c r="AB73" s="198">
        <f t="shared" si="96"/>
        <v>11608000</v>
      </c>
      <c r="AJ73" s="253">
        <f t="shared" si="92"/>
        <v>67</v>
      </c>
      <c r="AL73" s="240"/>
      <c r="AN73" s="94">
        <v>850000</v>
      </c>
      <c r="AO73" s="94">
        <v>193000</v>
      </c>
      <c r="AP73" s="94">
        <v>1284000</v>
      </c>
      <c r="AR73" s="94">
        <f>SUM(AN73:AQ73)</f>
        <v>2327000</v>
      </c>
      <c r="AT73" s="94">
        <v>10565000</v>
      </c>
      <c r="AU73" s="94">
        <f>11677000-10565000</f>
        <v>1112000</v>
      </c>
      <c r="AV73" s="94">
        <v>0</v>
      </c>
      <c r="AW73" s="94">
        <v>148000</v>
      </c>
      <c r="AX73" s="94">
        <f>SUM(AT73:AW73)</f>
        <v>11825000</v>
      </c>
      <c r="BB73" s="94">
        <v>69000</v>
      </c>
      <c r="BD73" s="94">
        <f>SUM(AZ73:BC73)</f>
        <v>69000</v>
      </c>
      <c r="BF73" s="94">
        <v>0</v>
      </c>
      <c r="BG73" s="94">
        <v>35691000</v>
      </c>
      <c r="BH73" s="94">
        <v>17211000</v>
      </c>
      <c r="BI73" s="94">
        <v>3280000</v>
      </c>
      <c r="BJ73" s="94">
        <f>SUM(BF73:BI73)</f>
        <v>56182000</v>
      </c>
      <c r="BL73" s="94">
        <v>0</v>
      </c>
      <c r="BM73" s="94">
        <v>0</v>
      </c>
      <c r="BN73" s="94">
        <v>255000</v>
      </c>
      <c r="BO73" s="94">
        <v>117000</v>
      </c>
      <c r="BP73" s="94">
        <f>SUM(BL73:BO73)</f>
        <v>372000</v>
      </c>
      <c r="BT73" s="94">
        <v>417000</v>
      </c>
      <c r="BU73" s="94">
        <v>2290000</v>
      </c>
      <c r="BV73" s="94">
        <f>SUM(BR73:BU73)</f>
        <v>2707000</v>
      </c>
      <c r="CD73" s="167"/>
      <c r="CF73" s="94">
        <f>+AN73</f>
        <v>850000</v>
      </c>
      <c r="CG73" s="94">
        <f>SUM($AN73:AO73)</f>
        <v>1043000</v>
      </c>
      <c r="CH73" s="94">
        <f>SUM($AN73:AP73)</f>
        <v>2327000</v>
      </c>
      <c r="CI73" s="94">
        <f>SUM($AN73:AQ73)</f>
        <v>2327000</v>
      </c>
      <c r="CJ73" s="94">
        <f>+AR73</f>
        <v>2327000</v>
      </c>
      <c r="CL73" s="94">
        <f>+AT73</f>
        <v>10565000</v>
      </c>
      <c r="CM73" s="94">
        <f>SUM($AT73:AU73)</f>
        <v>11677000</v>
      </c>
      <c r="CN73" s="94">
        <f>SUM($AT73:AV73)</f>
        <v>11677000</v>
      </c>
      <c r="CO73" s="94">
        <f>SUM($AT73:AW73)</f>
        <v>11825000</v>
      </c>
      <c r="CP73" s="94">
        <f>+AX73</f>
        <v>11825000</v>
      </c>
      <c r="CR73" s="94">
        <f>+AZ73</f>
        <v>0</v>
      </c>
      <c r="CS73" s="94">
        <f>SUM($AZ73:BA73)</f>
        <v>0</v>
      </c>
      <c r="CT73" s="94">
        <f>SUM($AZ73:BB73)</f>
        <v>69000</v>
      </c>
      <c r="CU73" s="94">
        <f>SUM($AZ73:BC73)</f>
        <v>69000</v>
      </c>
      <c r="CV73" s="94">
        <f>+BD73</f>
        <v>69000</v>
      </c>
      <c r="CX73" s="94">
        <f>+BF73</f>
        <v>0</v>
      </c>
      <c r="CY73" s="94">
        <f>SUM($BF73:BG73)</f>
        <v>35691000</v>
      </c>
      <c r="CZ73" s="94">
        <f>SUM($BF73:BH73)</f>
        <v>52902000</v>
      </c>
      <c r="DA73" s="94">
        <f>SUM($BF73:BI73)</f>
        <v>56182000</v>
      </c>
      <c r="DB73" s="94">
        <f>+BJ73</f>
        <v>56182000</v>
      </c>
      <c r="DD73" s="94">
        <f>+BL73</f>
        <v>0</v>
      </c>
      <c r="DE73" s="94">
        <f>SUM($BL73:BM73)</f>
        <v>0</v>
      </c>
      <c r="DF73" s="94">
        <f>SUM($BL73:BN73)</f>
        <v>255000</v>
      </c>
      <c r="DG73" s="94">
        <f>SUM($BL73:BO73)</f>
        <v>372000</v>
      </c>
      <c r="DH73" s="94">
        <f>+BP73</f>
        <v>372000</v>
      </c>
      <c r="DJ73" s="94">
        <f>+BR73</f>
        <v>0</v>
      </c>
      <c r="DK73" s="94">
        <f>SUM($BR73:BS73)</f>
        <v>0</v>
      </c>
      <c r="DL73" s="94">
        <f>SUM($BR73:BT73)</f>
        <v>417000</v>
      </c>
      <c r="DM73" s="94">
        <f>SUM($BR73:BU73)</f>
        <v>2707000</v>
      </c>
      <c r="DN73" s="94">
        <f>+BV73</f>
        <v>2707000</v>
      </c>
      <c r="DP73" s="94">
        <f>+BX73</f>
        <v>0</v>
      </c>
      <c r="DQ73" s="94">
        <f>SUM($BX73:BY73)</f>
        <v>0</v>
      </c>
      <c r="DR73" s="94">
        <f>SUM($BX73:BZ73)</f>
        <v>0</v>
      </c>
      <c r="DS73" s="94">
        <f>SUM($BX73:CA73)</f>
        <v>0</v>
      </c>
      <c r="DT73" s="94">
        <f>+CB73</f>
        <v>0</v>
      </c>
    </row>
    <row r="74" spans="1:124" ht="39.15" customHeight="1" x14ac:dyDescent="0.25">
      <c r="A74" s="259" t="s">
        <v>385</v>
      </c>
      <c r="B74" s="259" t="s">
        <v>385</v>
      </c>
      <c r="D74" s="83">
        <f>HLOOKUP(D$7,$AL$7:$CD$75,$AJ74,FALSE)</f>
        <v>0</v>
      </c>
      <c r="F74" s="83">
        <f>HLOOKUP(F$7,$AL$7:$CD$75,$AJ74,FALSE)</f>
        <v>0</v>
      </c>
      <c r="H74" s="83">
        <f>HLOOKUP(H$7,$AL$7:$CD$75,$AJ74,FALSE)</f>
        <v>0</v>
      </c>
      <c r="J74" s="83">
        <f>HLOOKUP(J$7,$CD$7:$DU$75,$AJ74,FALSE)</f>
        <v>-555000</v>
      </c>
      <c r="L74" s="83">
        <f>HLOOKUP(L$7,$CD$7:$DU$75,$AJ74,FALSE)</f>
        <v>-4486000</v>
      </c>
      <c r="N74" s="83">
        <f>HLOOKUP(N$7,$CD$7:$DU$75,$AJ74,FALSE)</f>
        <v>-6781000</v>
      </c>
      <c r="P74" s="198">
        <f>+D74-F74</f>
        <v>0</v>
      </c>
      <c r="R74" s="198">
        <f>+F74-H74</f>
        <v>0</v>
      </c>
      <c r="Z74" s="198">
        <f t="shared" si="95"/>
        <v>3931000</v>
      </c>
      <c r="AB74" s="198">
        <f t="shared" si="96"/>
        <v>2295000</v>
      </c>
      <c r="AJ74" s="253">
        <f t="shared" ref="AJ74:AJ96" si="97">+AJ73+1</f>
        <v>68</v>
      </c>
      <c r="AL74" s="240"/>
      <c r="AN74" s="94">
        <v>-555000</v>
      </c>
      <c r="AO74" s="94">
        <v>0</v>
      </c>
      <c r="AP74" s="94">
        <v>0</v>
      </c>
      <c r="AR74" s="94">
        <f>SUM(AN74:AQ74)</f>
        <v>-555000</v>
      </c>
      <c r="AT74" s="94">
        <v>-4486000</v>
      </c>
      <c r="AU74" s="94">
        <v>0</v>
      </c>
      <c r="AV74" s="94">
        <v>0</v>
      </c>
      <c r="AX74" s="94">
        <f>SUM(AT74:AW74)</f>
        <v>-4486000</v>
      </c>
      <c r="BA74" s="94">
        <v>-6781000</v>
      </c>
      <c r="BD74" s="94">
        <f>SUM(AZ74:BC74)</f>
        <v>-6781000</v>
      </c>
      <c r="BF74" s="94">
        <v>0</v>
      </c>
      <c r="BG74" s="94">
        <v>0</v>
      </c>
      <c r="BH74" s="94">
        <v>0</v>
      </c>
      <c r="BI74" s="94">
        <v>0</v>
      </c>
      <c r="BJ74" s="94">
        <f>SUM(BF74:BI74)</f>
        <v>0</v>
      </c>
      <c r="BL74" s="94">
        <v>0</v>
      </c>
      <c r="BM74" s="94">
        <v>0</v>
      </c>
      <c r="BN74" s="94">
        <v>0</v>
      </c>
      <c r="BO74" s="94">
        <v>0</v>
      </c>
      <c r="BP74" s="94">
        <f>SUM(BL74:BO74)</f>
        <v>0</v>
      </c>
      <c r="CD74" s="167"/>
      <c r="CF74" s="94">
        <f>+AN74</f>
        <v>-555000</v>
      </c>
      <c r="CG74" s="94">
        <f>SUM($AN74:AO74)</f>
        <v>-555000</v>
      </c>
      <c r="CH74" s="94">
        <f>SUM($AN74:AP74)</f>
        <v>-555000</v>
      </c>
      <c r="CI74" s="94">
        <f>SUM($AN74:AQ74)</f>
        <v>-555000</v>
      </c>
      <c r="CJ74" s="94">
        <f>+AR74</f>
        <v>-555000</v>
      </c>
      <c r="CL74" s="94">
        <f>+AT74</f>
        <v>-4486000</v>
      </c>
      <c r="CM74" s="94">
        <f>SUM($AT74:AU74)</f>
        <v>-4486000</v>
      </c>
      <c r="CN74" s="94">
        <f>SUM($AT74:AV74)</f>
        <v>-4486000</v>
      </c>
      <c r="CO74" s="94">
        <f>SUM($AT74:AW74)</f>
        <v>-4486000</v>
      </c>
      <c r="CP74" s="94">
        <f>+AX74</f>
        <v>-4486000</v>
      </c>
      <c r="CR74" s="94">
        <f>+AZ74</f>
        <v>0</v>
      </c>
      <c r="CS74" s="94">
        <f>SUM($AZ74:BA74)</f>
        <v>-6781000</v>
      </c>
      <c r="CT74" s="94">
        <f>SUM($AZ74:BB74)</f>
        <v>-6781000</v>
      </c>
      <c r="CU74" s="94">
        <f>SUM($AZ74:BC74)</f>
        <v>-6781000</v>
      </c>
      <c r="CV74" s="94">
        <f>+BD74</f>
        <v>-6781000</v>
      </c>
      <c r="CX74" s="94">
        <f>+BF74</f>
        <v>0</v>
      </c>
      <c r="CY74" s="94">
        <f>SUM($BF74:BG74)</f>
        <v>0</v>
      </c>
      <c r="CZ74" s="94">
        <f>SUM($BF74:BH74)</f>
        <v>0</v>
      </c>
      <c r="DA74" s="94">
        <f>SUM($BF74:BI74)</f>
        <v>0</v>
      </c>
      <c r="DB74" s="94">
        <f>+BJ74</f>
        <v>0</v>
      </c>
      <c r="DD74" s="94">
        <f>+BL74</f>
        <v>0</v>
      </c>
      <c r="DE74" s="94">
        <f>SUM($BL74:BM74)</f>
        <v>0</v>
      </c>
      <c r="DF74" s="94">
        <f>SUM($BL74:BN74)</f>
        <v>0</v>
      </c>
      <c r="DG74" s="94">
        <f>SUM($BL74:BO74)</f>
        <v>0</v>
      </c>
      <c r="DH74" s="94">
        <f>+BP74</f>
        <v>0</v>
      </c>
      <c r="DJ74" s="94">
        <f>+BR74</f>
        <v>0</v>
      </c>
      <c r="DK74" s="94">
        <f>SUM($BR74:BS74)</f>
        <v>0</v>
      </c>
      <c r="DL74" s="94">
        <f>SUM($BR74:BT74)</f>
        <v>0</v>
      </c>
      <c r="DM74" s="94">
        <f>SUM($BR74:BU74)</f>
        <v>0</v>
      </c>
      <c r="DN74" s="94">
        <f>+BV74</f>
        <v>0</v>
      </c>
    </row>
    <row r="75" spans="1:124" ht="39.15" customHeight="1" x14ac:dyDescent="0.25">
      <c r="A75" s="259" t="s">
        <v>386</v>
      </c>
      <c r="B75" s="259" t="s">
        <v>386</v>
      </c>
      <c r="D75" s="83">
        <f>HLOOKUP(D$7,$AL$7:$CD$75,$AJ75,FALSE)</f>
        <v>85000</v>
      </c>
      <c r="F75" s="83">
        <f>HLOOKUP(F$7,$AL$7:$CD$75,$AJ75,FALSE)</f>
        <v>1218000</v>
      </c>
      <c r="H75" s="83">
        <f>HLOOKUP(H$7,$AL$7:$CD$75,$AJ75,FALSE)</f>
        <v>77000</v>
      </c>
      <c r="J75" s="83">
        <f>HLOOKUP(J$7,$CD$7:$DU$75,$AJ75,FALSE)</f>
        <v>85000</v>
      </c>
      <c r="L75" s="83">
        <f>HLOOKUP(L$7,$CD$7:$DU$75,$AJ75,FALSE)</f>
        <v>1218000</v>
      </c>
      <c r="N75" s="83">
        <f>HLOOKUP(N$7,$CD$7:$DU$75,$AJ75,FALSE)</f>
        <v>77000</v>
      </c>
      <c r="P75" s="198">
        <f>+D75-F75</f>
        <v>-1133000</v>
      </c>
      <c r="R75" s="198">
        <f>+F75-H75</f>
        <v>1141000</v>
      </c>
      <c r="Z75" s="198">
        <f t="shared" si="95"/>
        <v>-1133000</v>
      </c>
      <c r="AB75" s="198">
        <f t="shared" si="96"/>
        <v>1141000</v>
      </c>
      <c r="AJ75" s="253">
        <f t="shared" si="97"/>
        <v>69</v>
      </c>
      <c r="AL75" s="240"/>
      <c r="AM75" s="248" t="s">
        <v>387</v>
      </c>
      <c r="AN75" s="94">
        <v>109000</v>
      </c>
      <c r="AO75" s="94">
        <v>238000</v>
      </c>
      <c r="AP75" s="94">
        <v>85000</v>
      </c>
      <c r="AR75" s="200">
        <v>85000</v>
      </c>
      <c r="AT75" s="94">
        <v>0</v>
      </c>
      <c r="AU75" s="94">
        <v>211000</v>
      </c>
      <c r="AV75" s="94">
        <v>1218000</v>
      </c>
      <c r="AW75" s="94">
        <v>104000</v>
      </c>
      <c r="AX75" s="94">
        <v>104000</v>
      </c>
      <c r="AZ75" s="94">
        <v>1666000</v>
      </c>
      <c r="BA75" s="94">
        <v>187000</v>
      </c>
      <c r="BB75" s="94">
        <v>77000</v>
      </c>
      <c r="BC75" s="94">
        <v>47000</v>
      </c>
      <c r="BD75" s="94">
        <v>0</v>
      </c>
      <c r="BF75" s="94">
        <v>164000</v>
      </c>
      <c r="BG75" s="94">
        <v>195000</v>
      </c>
      <c r="BH75" s="94">
        <v>353000</v>
      </c>
      <c r="BI75" s="94">
        <v>696000</v>
      </c>
      <c r="BJ75" s="94">
        <v>696000</v>
      </c>
      <c r="BL75" s="94">
        <v>58000</v>
      </c>
      <c r="BM75" s="94">
        <v>475000</v>
      </c>
      <c r="BN75" s="94">
        <v>148000</v>
      </c>
      <c r="BO75" s="94">
        <v>250000</v>
      </c>
      <c r="BP75" s="94">
        <v>250000</v>
      </c>
      <c r="CD75" s="167"/>
      <c r="CF75" s="94">
        <f>+AN75</f>
        <v>109000</v>
      </c>
      <c r="CG75" s="94">
        <f>+AO75</f>
        <v>238000</v>
      </c>
      <c r="CH75" s="94">
        <f>+AP75</f>
        <v>85000</v>
      </c>
      <c r="CI75" s="94">
        <f>+AQ75</f>
        <v>0</v>
      </c>
      <c r="CJ75" s="94">
        <f>+AR75</f>
        <v>85000</v>
      </c>
      <c r="CL75" s="94">
        <f>+AT75</f>
        <v>0</v>
      </c>
      <c r="CM75" s="94">
        <f>+AU75</f>
        <v>211000</v>
      </c>
      <c r="CN75" s="94">
        <f>+AV75</f>
        <v>1218000</v>
      </c>
      <c r="CO75" s="94">
        <f>+AW75</f>
        <v>104000</v>
      </c>
      <c r="CP75" s="94">
        <f>+AX75</f>
        <v>104000</v>
      </c>
      <c r="CR75" s="94">
        <f>+AZ75</f>
        <v>1666000</v>
      </c>
      <c r="CS75" s="94">
        <v>187000</v>
      </c>
      <c r="CT75" s="94">
        <v>77000</v>
      </c>
      <c r="CU75" s="94">
        <v>47000</v>
      </c>
      <c r="CV75" s="94">
        <v>47000</v>
      </c>
      <c r="CX75" s="94">
        <f>+BF75</f>
        <v>164000</v>
      </c>
      <c r="CY75" s="94">
        <f>+BG75</f>
        <v>195000</v>
      </c>
      <c r="CZ75" s="94">
        <f>+BH75</f>
        <v>353000</v>
      </c>
      <c r="DA75" s="94">
        <f>+BI75</f>
        <v>696000</v>
      </c>
      <c r="DB75" s="94">
        <f>+BJ75</f>
        <v>696000</v>
      </c>
      <c r="DD75" s="94">
        <f>+BL75</f>
        <v>58000</v>
      </c>
      <c r="DE75" s="94">
        <f>+BM75</f>
        <v>475000</v>
      </c>
      <c r="DF75" s="94">
        <f>+BN75</f>
        <v>148000</v>
      </c>
      <c r="DG75" s="94">
        <f>+BO75</f>
        <v>250000</v>
      </c>
      <c r="DH75" s="94">
        <f>+BP75</f>
        <v>250000</v>
      </c>
      <c r="DJ75" s="94">
        <f>+BR75</f>
        <v>0</v>
      </c>
      <c r="DK75" s="94">
        <f>SUM($BR75:BS75)</f>
        <v>0</v>
      </c>
      <c r="DL75" s="94">
        <f>SUM($BR75:BT75)</f>
        <v>0</v>
      </c>
      <c r="DM75" s="94">
        <f>SUM($BR75:BU75)</f>
        <v>0</v>
      </c>
      <c r="DN75" s="94">
        <f>+BV75</f>
        <v>0</v>
      </c>
    </row>
    <row r="76" spans="1:124" ht="23.25" customHeight="1" x14ac:dyDescent="0.25">
      <c r="A76" s="259" t="s">
        <v>388</v>
      </c>
      <c r="B76" s="259" t="s">
        <v>388</v>
      </c>
      <c r="D76" s="83">
        <f>HLOOKUP(D$7,$AL$7:$CD$76,$AJ76,FALSE)</f>
        <v>64000</v>
      </c>
      <c r="E76" s="1"/>
      <c r="F76" s="83">
        <f>HLOOKUP(F$7,$AL$7:$CD$76,$AJ76,FALSE)</f>
        <v>0</v>
      </c>
      <c r="G76" s="1"/>
      <c r="H76" s="83">
        <f>HLOOKUP(H$7,$AL$7:$CD$76,$AJ76,FALSE)</f>
        <v>0</v>
      </c>
      <c r="I76" s="1"/>
      <c r="J76" s="83">
        <f>HLOOKUP(J$7,$CD$7:$DU$76,$AJ76,FALSE)</f>
        <v>64000</v>
      </c>
      <c r="K76" s="1"/>
      <c r="L76" s="83">
        <f>HLOOKUP(L$7,$CD$7:$DU$76,$AJ76,FALSE)</f>
        <v>0</v>
      </c>
      <c r="M76" s="1"/>
      <c r="N76" s="83">
        <f>HLOOKUP(N$7,$CD$7:$DU$76,$AJ76,FALSE)</f>
        <v>0</v>
      </c>
      <c r="O76" s="1"/>
      <c r="P76" s="198">
        <f>+D76-F76</f>
        <v>64000</v>
      </c>
      <c r="Q76" s="54"/>
      <c r="R76" s="198">
        <f>+F76-H76</f>
        <v>0</v>
      </c>
      <c r="Z76" s="198">
        <f t="shared" si="95"/>
        <v>64000</v>
      </c>
      <c r="AA76" s="54"/>
      <c r="AB76" s="198">
        <f t="shared" si="96"/>
        <v>0</v>
      </c>
      <c r="AJ76" s="253">
        <f t="shared" si="97"/>
        <v>70</v>
      </c>
      <c r="AL76" s="240"/>
      <c r="AP76" s="94">
        <v>64000</v>
      </c>
      <c r="AR76" s="94">
        <f>SUM(AN76:AQ76)</f>
        <v>64000</v>
      </c>
      <c r="CD76" s="167"/>
      <c r="CF76" s="94">
        <f>+AN76</f>
        <v>0</v>
      </c>
      <c r="CG76" s="94">
        <f>SUM($AN76:AO76)</f>
        <v>0</v>
      </c>
      <c r="CH76" s="94">
        <f>SUM($AN76:AP76)</f>
        <v>64000</v>
      </c>
      <c r="CI76" s="94">
        <f>SUM($AN76:AQ76)</f>
        <v>64000</v>
      </c>
      <c r="CJ76" s="94">
        <f>+AR76</f>
        <v>64000</v>
      </c>
    </row>
    <row r="77" spans="1:124" ht="23.25" customHeight="1" x14ac:dyDescent="0.25">
      <c r="Z77" s="198">
        <f t="shared" si="95"/>
        <v>0</v>
      </c>
      <c r="AB77" s="198">
        <f t="shared" si="96"/>
        <v>0</v>
      </c>
      <c r="AJ77" s="253">
        <f t="shared" si="97"/>
        <v>71</v>
      </c>
      <c r="AL77" s="240"/>
      <c r="AN77" s="401" t="s">
        <v>389</v>
      </c>
      <c r="AO77" s="362"/>
      <c r="AP77" s="362"/>
      <c r="AQ77" s="362"/>
      <c r="CD77" s="167"/>
    </row>
    <row r="78" spans="1:124" ht="15.75" customHeight="1" x14ac:dyDescent="0.25">
      <c r="A78" s="262" t="s">
        <v>390</v>
      </c>
      <c r="Z78" s="198">
        <f t="shared" si="95"/>
        <v>0</v>
      </c>
      <c r="AB78" s="198">
        <f t="shared" si="96"/>
        <v>0</v>
      </c>
      <c r="AJ78" s="253">
        <f t="shared" si="97"/>
        <v>72</v>
      </c>
      <c r="AL78" s="167"/>
      <c r="CD78" s="167"/>
    </row>
    <row r="79" spans="1:124" ht="23.25" customHeight="1" x14ac:dyDescent="0.25">
      <c r="A79" s="163" t="s">
        <v>391</v>
      </c>
      <c r="D79" s="94">
        <f>SUM(D9:D20)</f>
        <v>40695000</v>
      </c>
      <c r="F79" s="94">
        <f>SUM(F9:F20)</f>
        <v>34066000</v>
      </c>
      <c r="H79" s="94">
        <f>SUM(H9:H20)</f>
        <v>14898000</v>
      </c>
      <c r="J79" s="94">
        <f>SUM(J9:J20)</f>
        <v>102262000</v>
      </c>
      <c r="L79" s="94">
        <f>SUM(L9:L20)</f>
        <v>77228000</v>
      </c>
      <c r="T79" s="54" t="str">
        <f>IF(D79&gt;0,"provided by","used in")</f>
        <v>provided by</v>
      </c>
      <c r="V79" s="54" t="str">
        <f>IF(F79&gt;0,"provided by","used in")</f>
        <v>provided by</v>
      </c>
      <c r="X79" s="54" t="str">
        <f>IF(H79&gt;0,"provided by","used in")</f>
        <v>provided by</v>
      </c>
      <c r="Z79" s="198">
        <f t="shared" si="95"/>
        <v>25034000</v>
      </c>
      <c r="AB79" s="198">
        <f t="shared" si="96"/>
        <v>77228000</v>
      </c>
      <c r="AD79" s="54" t="str">
        <f>IF(J79&gt;0,"provided by","used in")</f>
        <v>provided by</v>
      </c>
      <c r="AF79" s="54" t="str">
        <f>IF(L79&gt;0,"provided by","used in")</f>
        <v>provided by</v>
      </c>
      <c r="AH79" s="54" t="str">
        <f>IF(N79&gt;0,"provided by","used in")</f>
        <v>used in</v>
      </c>
      <c r="AJ79" s="253">
        <f t="shared" si="97"/>
        <v>73</v>
      </c>
      <c r="AL79" s="167"/>
      <c r="AN79" s="94">
        <f>SUM(AN9:AN20)</f>
        <v>25597000</v>
      </c>
      <c r="AO79" s="94">
        <f>SUM(AO9:AO20)</f>
        <v>35970000</v>
      </c>
      <c r="AP79" s="94">
        <f>SUM(AP9:AP20)</f>
        <v>40695000</v>
      </c>
      <c r="AQ79" s="94">
        <f>SUM(AQ9:AQ20)</f>
        <v>0</v>
      </c>
      <c r="AR79" s="94">
        <f>SUM(AR9:AR20)</f>
        <v>102262000</v>
      </c>
      <c r="AS79" s="125"/>
      <c r="AT79" s="94">
        <f>SUM(AT9:AT20)</f>
        <v>15881000</v>
      </c>
      <c r="AU79" s="94">
        <f>SUM(AU9:AU20)</f>
        <v>27281000</v>
      </c>
      <c r="AV79" s="94">
        <f>SUM(AV9:AV20)</f>
        <v>34066000</v>
      </c>
      <c r="AW79" s="94">
        <f>SUM(AW9:AW20)</f>
        <v>23334000</v>
      </c>
      <c r="AX79" s="94">
        <f>SUM(AX9:AX20)</f>
        <v>100562000</v>
      </c>
      <c r="CD79" s="167"/>
      <c r="CF79" s="94">
        <f>SUM(CF9:CF20)</f>
        <v>25597000</v>
      </c>
      <c r="CG79" s="94">
        <f>SUM(CG9:CG20)</f>
        <v>61567000</v>
      </c>
      <c r="CH79" s="94">
        <f>SUM(CH9:CH20)</f>
        <v>102262000</v>
      </c>
      <c r="CI79" s="94">
        <f>SUM(CI9:CI20)</f>
        <v>102262000</v>
      </c>
      <c r="CJ79" s="94">
        <f>SUM(CJ9:CJ20)</f>
        <v>102262000</v>
      </c>
      <c r="CK79" s="125"/>
      <c r="CL79" s="94">
        <f>SUM(CL9:CL20)</f>
        <v>15881000</v>
      </c>
      <c r="CM79" s="94">
        <f>SUM(CM9:CM20)</f>
        <v>43162000</v>
      </c>
      <c r="CN79" s="94">
        <f>SUM(CN9:CN20)</f>
        <v>77228000</v>
      </c>
      <c r="CO79" s="94">
        <f>SUM(CO9:CO20)</f>
        <v>100562000</v>
      </c>
      <c r="CP79" s="94">
        <f>SUM(CP9:CP20)</f>
        <v>100562000</v>
      </c>
    </row>
    <row r="80" spans="1:124" ht="23.25" customHeight="1" x14ac:dyDescent="0.25">
      <c r="A80" s="147" t="s">
        <v>392</v>
      </c>
      <c r="D80" s="94">
        <f>SUM(D21:D27)</f>
        <v>4422000</v>
      </c>
      <c r="F80" s="94">
        <f>SUM(F21:F27)</f>
        <v>-17510000</v>
      </c>
      <c r="H80" s="94">
        <f>SUM(H21:H27)</f>
        <v>872000</v>
      </c>
      <c r="J80" s="94">
        <f>SUM(J21:J27)</f>
        <v>-10877000</v>
      </c>
      <c r="L80" s="94">
        <f>SUM(L21:L27)</f>
        <v>785000</v>
      </c>
      <c r="T80" s="54" t="str">
        <f>IF(D80&gt;0,"provided by","used in")</f>
        <v>provided by</v>
      </c>
      <c r="V80" s="54" t="str">
        <f>IF(F80&gt;0,"provided by","used in")</f>
        <v>used in</v>
      </c>
      <c r="X80" s="54" t="str">
        <f>IF(H80&gt;0,"provided by","used in")</f>
        <v>provided by</v>
      </c>
      <c r="Z80" s="198">
        <f t="shared" si="95"/>
        <v>-11662000</v>
      </c>
      <c r="AB80" s="198">
        <f t="shared" si="96"/>
        <v>785000</v>
      </c>
      <c r="AD80" s="54" t="str">
        <f>IF(J80&gt;0,"provided by","used in")</f>
        <v>used in</v>
      </c>
      <c r="AF80" s="54" t="str">
        <f>IF(L80&gt;0,"provided by","used in")</f>
        <v>provided by</v>
      </c>
      <c r="AH80" s="54" t="str">
        <f>IF(N80&gt;0,"provided by","used in")</f>
        <v>used in</v>
      </c>
      <c r="AJ80" s="253">
        <f t="shared" si="97"/>
        <v>74</v>
      </c>
      <c r="AL80" s="167"/>
      <c r="AN80" s="94">
        <f>SUM(AN21:AN27)</f>
        <v>-34925000</v>
      </c>
      <c r="AO80" s="94">
        <f>SUM(AO21:AO27)</f>
        <v>19626000</v>
      </c>
      <c r="AP80" s="94">
        <f>SUM(AP21:AP27)</f>
        <v>4422000</v>
      </c>
      <c r="AQ80" s="94">
        <f>SUM(AQ21:AQ27)</f>
        <v>0</v>
      </c>
      <c r="AR80" s="94">
        <f>SUM(AR21:AR27)</f>
        <v>-10877000</v>
      </c>
      <c r="AS80" s="125"/>
      <c r="AT80" s="94">
        <f>SUM(AT21:AT27)</f>
        <v>9812000</v>
      </c>
      <c r="AU80" s="94">
        <f>SUM(AU21:AU27)</f>
        <v>8483000</v>
      </c>
      <c r="AV80" s="94">
        <f>SUM(AV21:AV27)</f>
        <v>-17510000</v>
      </c>
      <c r="AW80" s="94">
        <f>SUM(AW21:AW27)</f>
        <v>4309000</v>
      </c>
      <c r="AX80" s="94">
        <f>SUM(AX21:AX27)</f>
        <v>5094000</v>
      </c>
      <c r="CD80" s="167"/>
      <c r="CF80" s="94">
        <f>SUM(CF21:CF27)</f>
        <v>-34925000</v>
      </c>
      <c r="CG80" s="94">
        <f>SUM(CG21:CG27)</f>
        <v>-15299000</v>
      </c>
      <c r="CH80" s="94">
        <f>SUM(CH21:CH27)</f>
        <v>-10877000</v>
      </c>
      <c r="CI80" s="94">
        <f>SUM(CI21:CI27)</f>
        <v>-10877000</v>
      </c>
      <c r="CJ80" s="94">
        <f>SUM(CJ21:CJ27)</f>
        <v>-10877000</v>
      </c>
      <c r="CK80" s="125"/>
      <c r="CL80" s="94">
        <f>SUM(CL21:CL27)</f>
        <v>9812000</v>
      </c>
      <c r="CM80" s="94">
        <f>SUM(CM21:CM27)</f>
        <v>18295000</v>
      </c>
      <c r="CN80" s="94">
        <f>SUM(CN21:CN27)</f>
        <v>785000</v>
      </c>
      <c r="CO80" s="94">
        <f>SUM(CO21:CO27)</f>
        <v>5094000</v>
      </c>
      <c r="CP80" s="94">
        <f>SUM(CP21:CP27)</f>
        <v>5094000</v>
      </c>
    </row>
    <row r="81" spans="1:94" ht="15.75" customHeight="1" x14ac:dyDescent="0.25">
      <c r="A81" s="147" t="s">
        <v>393</v>
      </c>
      <c r="D81" s="157">
        <f>SUM(D79:D80)</f>
        <v>45117000</v>
      </c>
      <c r="F81" s="157">
        <f>SUM(F79:F80)</f>
        <v>16556000</v>
      </c>
      <c r="H81" s="157">
        <f>SUM(H79:H80)</f>
        <v>15770000</v>
      </c>
      <c r="J81" s="157">
        <f>SUM(J79:J80)</f>
        <v>91385000</v>
      </c>
      <c r="L81" s="157">
        <f>SUM(L79:L80)</f>
        <v>78013000</v>
      </c>
      <c r="AJ81" s="253">
        <f t="shared" si="97"/>
        <v>75</v>
      </c>
      <c r="AL81" s="167"/>
      <c r="AN81" s="157">
        <f>SUM(AN79:AN80)</f>
        <v>-9328000</v>
      </c>
      <c r="AO81" s="157">
        <f>SUM(AO79:AO80)</f>
        <v>55596000</v>
      </c>
      <c r="AP81" s="157">
        <f>SUM(AP79:AP80)</f>
        <v>45117000</v>
      </c>
      <c r="AQ81" s="157">
        <f>SUM(AQ79:AQ80)</f>
        <v>0</v>
      </c>
      <c r="AR81" s="157">
        <f>SUM(AR79:AR80)</f>
        <v>91385000</v>
      </c>
      <c r="AS81" s="125"/>
      <c r="AT81" s="157">
        <f>SUM(AT79:AT80)</f>
        <v>25693000</v>
      </c>
      <c r="AU81" s="157">
        <f>SUM(AU79:AU80)</f>
        <v>35764000</v>
      </c>
      <c r="AV81" s="157">
        <f>SUM(AV79:AV80)</f>
        <v>16556000</v>
      </c>
      <c r="AW81" s="157">
        <f>SUM(AW79:AW80)</f>
        <v>27643000</v>
      </c>
      <c r="AX81" s="157">
        <f>SUM(AX79:AX80)</f>
        <v>105656000</v>
      </c>
      <c r="CD81" s="167"/>
      <c r="CF81" s="157">
        <f>SUM(CF79:CF80)</f>
        <v>-9328000</v>
      </c>
      <c r="CG81" s="157">
        <f>SUM(CG79:CG80)</f>
        <v>46268000</v>
      </c>
      <c r="CH81" s="157">
        <f>SUM(CH79:CH80)</f>
        <v>91385000</v>
      </c>
      <c r="CI81" s="157">
        <f>SUM(CI79:CI80)</f>
        <v>91385000</v>
      </c>
      <c r="CJ81" s="157">
        <f>SUM(CJ79:CJ80)</f>
        <v>91385000</v>
      </c>
      <c r="CK81" s="125"/>
      <c r="CL81" s="157">
        <f>SUM(CL79:CL80)</f>
        <v>25693000</v>
      </c>
      <c r="CM81" s="157">
        <f>SUM(CM79:CM80)</f>
        <v>61457000</v>
      </c>
      <c r="CN81" s="157">
        <f>SUM(CN79:CN80)</f>
        <v>78013000</v>
      </c>
      <c r="CO81" s="157">
        <f>SUM(CO79:CO80)</f>
        <v>105656000</v>
      </c>
      <c r="CP81" s="157">
        <f>SUM(CP79:CP80)</f>
        <v>105656000</v>
      </c>
    </row>
    <row r="82" spans="1:94" ht="15.75" customHeight="1" x14ac:dyDescent="0.25">
      <c r="A82" s="164" t="s">
        <v>394</v>
      </c>
      <c r="D82" s="263" t="b">
        <f>D81=D28</f>
        <v>1</v>
      </c>
      <c r="E82" s="263"/>
      <c r="F82" s="264">
        <f>+F81-F28</f>
        <v>0</v>
      </c>
      <c r="G82" s="263"/>
      <c r="H82" s="264">
        <f>+H81-H28</f>
        <v>0</v>
      </c>
      <c r="J82" s="264">
        <f>+J81-J28</f>
        <v>0</v>
      </c>
      <c r="K82" s="263"/>
      <c r="L82" s="264">
        <f>+L81-L28</f>
        <v>0</v>
      </c>
      <c r="M82" s="263"/>
      <c r="N82" s="263"/>
      <c r="AJ82" s="253">
        <f t="shared" si="97"/>
        <v>76</v>
      </c>
      <c r="AL82" s="167"/>
      <c r="AN82" s="263" t="b">
        <f>AN81=AN28</f>
        <v>1</v>
      </c>
      <c r="AO82" s="263" t="b">
        <f>AO81=AO28</f>
        <v>1</v>
      </c>
      <c r="AP82" s="263" t="b">
        <f>AP81=AP28</f>
        <v>1</v>
      </c>
      <c r="AQ82" s="263" t="b">
        <f>AQ81=AQ28</f>
        <v>1</v>
      </c>
      <c r="AR82" s="263" t="b">
        <f>AR81=AR28</f>
        <v>1</v>
      </c>
      <c r="AS82" s="125"/>
      <c r="AT82" s="263" t="b">
        <f>AT81=AT28</f>
        <v>1</v>
      </c>
      <c r="AU82" s="263" t="b">
        <f>AU81=AU28</f>
        <v>1</v>
      </c>
      <c r="AV82" s="263" t="b">
        <f>AV81=AV28</f>
        <v>1</v>
      </c>
      <c r="AW82" s="263" t="b">
        <f>AW81=AW28</f>
        <v>1</v>
      </c>
      <c r="AX82" s="263" t="b">
        <f>AX81=AX28</f>
        <v>1</v>
      </c>
      <c r="CD82" s="167"/>
      <c r="CF82" s="263" t="b">
        <f>CF81=CF28</f>
        <v>1</v>
      </c>
      <c r="CG82" s="263" t="b">
        <f>CG81=CG28</f>
        <v>1</v>
      </c>
      <c r="CH82" s="263" t="b">
        <f>CH81=CH28</f>
        <v>1</v>
      </c>
      <c r="CI82" s="263" t="b">
        <f>CI81=CI28</f>
        <v>1</v>
      </c>
      <c r="CJ82" s="263" t="b">
        <f>CJ81=CJ28</f>
        <v>1</v>
      </c>
      <c r="CK82" s="125"/>
      <c r="CL82" s="263" t="b">
        <f>CL81=CL28</f>
        <v>1</v>
      </c>
      <c r="CM82" s="263" t="b">
        <f>CM81=CM28</f>
        <v>1</v>
      </c>
      <c r="CN82" s="263" t="b">
        <f>CN81=CN28</f>
        <v>1</v>
      </c>
      <c r="CO82" s="263" t="b">
        <f>CO81=CO28</f>
        <v>1</v>
      </c>
      <c r="CP82" s="263" t="b">
        <f>CP81=CP28</f>
        <v>1</v>
      </c>
    </row>
    <row r="83" spans="1:94" ht="15.75" customHeight="1" x14ac:dyDescent="0.25">
      <c r="D83" s="180"/>
      <c r="E83" s="180"/>
      <c r="F83" s="180"/>
      <c r="G83" s="180"/>
      <c r="H83" s="180"/>
      <c r="J83" s="180"/>
      <c r="K83" s="180"/>
      <c r="L83" s="180"/>
      <c r="M83" s="180"/>
      <c r="N83" s="180"/>
      <c r="AJ83" s="253">
        <f t="shared" si="97"/>
        <v>77</v>
      </c>
      <c r="AL83" s="167"/>
      <c r="AN83" s="180"/>
      <c r="AO83" s="180"/>
      <c r="AP83" s="180"/>
      <c r="AQ83" s="180"/>
      <c r="AR83" s="180"/>
      <c r="AS83" s="125"/>
      <c r="AT83" s="180"/>
      <c r="AU83" s="180"/>
      <c r="AV83" s="180"/>
      <c r="AW83" s="180"/>
      <c r="AX83" s="180"/>
      <c r="CD83" s="167"/>
      <c r="CF83" s="180"/>
      <c r="CG83" s="180"/>
      <c r="CH83" s="180"/>
      <c r="CI83" s="180"/>
      <c r="CJ83" s="180"/>
      <c r="CK83" s="125"/>
      <c r="CL83" s="180"/>
      <c r="CM83" s="180"/>
      <c r="CN83" s="180"/>
      <c r="CO83" s="180"/>
      <c r="CP83" s="180"/>
    </row>
    <row r="84" spans="1:94" ht="15.75" customHeight="1" x14ac:dyDescent="0.25">
      <c r="A84" s="22" t="s">
        <v>395</v>
      </c>
      <c r="D84" s="159">
        <f>+D28+D30+D31+D41</f>
        <v>44835000</v>
      </c>
      <c r="E84" s="180"/>
      <c r="F84" s="159">
        <f>+F28+F30+F31+F41</f>
        <v>14345000</v>
      </c>
      <c r="G84" s="180"/>
      <c r="H84" s="159">
        <f>+H28+H30+H31+H41</f>
        <v>15591000</v>
      </c>
      <c r="J84" s="159">
        <f>+J28+J30+J31+J41</f>
        <v>90636000</v>
      </c>
      <c r="K84" s="180"/>
      <c r="L84" s="159">
        <f>+L28+L30+L31+L41</f>
        <v>75549000</v>
      </c>
      <c r="M84" s="180"/>
      <c r="N84" s="159">
        <f>+N28+N30+N31+N41</f>
        <v>-817000</v>
      </c>
      <c r="AJ84" s="253">
        <f t="shared" si="97"/>
        <v>78</v>
      </c>
      <c r="AL84" s="167"/>
      <c r="AN84" s="159">
        <f>+AN28+AN30+AN31+AN41</f>
        <v>-9554000</v>
      </c>
      <c r="AO84" s="159">
        <f>+AO28+AO30+AO31+AO41</f>
        <v>55355000</v>
      </c>
      <c r="AP84" s="159">
        <f>+AP28+AP30+AP31+AP41</f>
        <v>44835000</v>
      </c>
      <c r="AQ84" s="159">
        <f>+AQ28+AQ30+AQ31+AQ41</f>
        <v>0</v>
      </c>
      <c r="AR84" s="159">
        <f>+AR28+AR30+AR31+AR41</f>
        <v>90636000</v>
      </c>
      <c r="AS84" s="125"/>
      <c r="AT84" s="159">
        <f>+AT28+AT30+AT31+AT41</f>
        <v>25640000</v>
      </c>
      <c r="AU84" s="159">
        <f>+AU28+AU30+AU31+AU41</f>
        <v>35564000</v>
      </c>
      <c r="AV84" s="159">
        <f>+AV28+AV30+AV31+AV41</f>
        <v>14345000</v>
      </c>
      <c r="AW84" s="159">
        <f>+AW28+AW30+AW31+AW41</f>
        <v>25852000</v>
      </c>
      <c r="AX84" s="159">
        <f>+AX28+AX30+AX31+AX41</f>
        <v>101401000</v>
      </c>
      <c r="CD84" s="167"/>
      <c r="CF84" s="159">
        <f>+CF28+CF30+CF31+CF41</f>
        <v>-9554000</v>
      </c>
      <c r="CG84" s="159">
        <f>+CG28+CG30+CG31+CG41</f>
        <v>45801000</v>
      </c>
      <c r="CH84" s="159">
        <f>+CH28+CH30+CH31+CH41</f>
        <v>90636000</v>
      </c>
      <c r="CI84" s="159">
        <f>+CI28+CI30+CI31+CI41</f>
        <v>90636000</v>
      </c>
      <c r="CJ84" s="159">
        <f>+CJ28+CJ30+CJ31+CJ41</f>
        <v>90636000</v>
      </c>
      <c r="CK84" s="125"/>
      <c r="CL84" s="159">
        <f>+CL28+CL30+CL31+CL41</f>
        <v>25640000</v>
      </c>
      <c r="CM84" s="159">
        <f>+CM28+CM30+CM31+CM41</f>
        <v>61204000</v>
      </c>
      <c r="CN84" s="159">
        <f>+CN28+CN30+CN31+CN41</f>
        <v>75549000</v>
      </c>
      <c r="CO84" s="159">
        <f>+CO28+CO30+CO31+CO41</f>
        <v>101401000</v>
      </c>
      <c r="CP84" s="159">
        <f>+CP28+CP30+CP31+CP41</f>
        <v>101401000</v>
      </c>
    </row>
    <row r="85" spans="1:94" ht="15.75" customHeight="1" x14ac:dyDescent="0.25">
      <c r="A85" s="164"/>
      <c r="D85" s="102"/>
      <c r="E85" s="102"/>
      <c r="F85" s="102"/>
      <c r="G85" s="102"/>
      <c r="H85" s="102"/>
      <c r="J85" s="102"/>
      <c r="K85" s="102"/>
      <c r="L85" s="102"/>
      <c r="M85" s="102"/>
      <c r="N85" s="102"/>
      <c r="AJ85" s="253">
        <f t="shared" si="97"/>
        <v>79</v>
      </c>
      <c r="AL85" s="167"/>
      <c r="AN85" s="102"/>
      <c r="AO85" s="102"/>
      <c r="AP85" s="102"/>
      <c r="AQ85" s="102"/>
      <c r="AR85" s="102"/>
      <c r="AS85" s="125"/>
      <c r="AT85" s="102"/>
      <c r="AU85" s="102"/>
      <c r="AV85" s="102"/>
      <c r="AW85" s="102"/>
      <c r="AX85" s="102"/>
      <c r="CD85" s="167"/>
      <c r="CF85" s="102"/>
      <c r="CG85" s="102"/>
      <c r="CH85" s="102"/>
      <c r="CI85" s="102"/>
      <c r="CJ85" s="102"/>
      <c r="CK85" s="125"/>
      <c r="CL85" s="102"/>
      <c r="CM85" s="102"/>
      <c r="CN85" s="102"/>
      <c r="CO85" s="102"/>
      <c r="CP85" s="102"/>
    </row>
    <row r="86" spans="1:94" ht="15.75" customHeight="1" x14ac:dyDescent="0.25">
      <c r="AJ86" s="253">
        <f t="shared" si="97"/>
        <v>80</v>
      </c>
      <c r="AL86" s="167"/>
      <c r="CD86" s="167"/>
    </row>
    <row r="87" spans="1:94" ht="16.649999999999999" customHeight="1" x14ac:dyDescent="0.25">
      <c r="A87" s="265" t="s">
        <v>394</v>
      </c>
      <c r="AJ87" s="253">
        <f t="shared" si="97"/>
        <v>81</v>
      </c>
      <c r="AL87" s="240"/>
      <c r="CD87" s="167"/>
    </row>
    <row r="88" spans="1:94" ht="16.649999999999999" customHeight="1" x14ac:dyDescent="0.25">
      <c r="A88" s="209" t="s">
        <v>396</v>
      </c>
      <c r="B88" s="400" t="s">
        <v>397</v>
      </c>
      <c r="C88" s="105"/>
      <c r="D88" s="266" t="e">
        <f>+'[5]SOCF qtr'!D28</f>
        <v>#REF!</v>
      </c>
      <c r="F88" s="266" t="e">
        <f>+'[5]SOCF qtr'!F28</f>
        <v>#REF!</v>
      </c>
      <c r="J88" s="266" t="e">
        <f>+'[6]SOCF ytd'!D28</f>
        <v>#REF!</v>
      </c>
      <c r="L88" s="266" t="e">
        <f>+'[6]SOCF ytd'!F28</f>
        <v>#REF!</v>
      </c>
      <c r="AJ88" s="253">
        <f t="shared" si="97"/>
        <v>82</v>
      </c>
      <c r="AL88" s="240"/>
      <c r="CD88" s="167"/>
    </row>
    <row r="89" spans="1:94" ht="16.649999999999999" customHeight="1" x14ac:dyDescent="0.25">
      <c r="A89" s="164" t="s">
        <v>398</v>
      </c>
      <c r="B89" s="362"/>
      <c r="D89" s="267" t="e">
        <f>+D28-D88</f>
        <v>#REF!</v>
      </c>
      <c r="F89" s="267" t="e">
        <f>+F28-F88</f>
        <v>#REF!</v>
      </c>
      <c r="J89" s="267" t="e">
        <f>+J28-J88</f>
        <v>#REF!</v>
      </c>
      <c r="L89" s="267" t="e">
        <f>+L28-L88</f>
        <v>#REF!</v>
      </c>
      <c r="AJ89" s="253">
        <f t="shared" si="97"/>
        <v>83</v>
      </c>
      <c r="AL89" s="240"/>
      <c r="CD89" s="167"/>
    </row>
    <row r="90" spans="1:94" ht="15.75" customHeight="1" x14ac:dyDescent="0.25">
      <c r="A90" s="164" t="s">
        <v>399</v>
      </c>
      <c r="B90" s="362"/>
      <c r="D90" s="266" t="e">
        <f>+'[5]SOCF qtr'!D47</f>
        <v>#REF!</v>
      </c>
      <c r="F90" s="266" t="e">
        <f>+'[5]SOCF qtr'!F47</f>
        <v>#REF!</v>
      </c>
      <c r="J90" s="266" t="e">
        <f>+'[6]SOCF ytd'!D47</f>
        <v>#REF!</v>
      </c>
      <c r="L90" s="266" t="e">
        <f>+'[6]SOCF ytd'!F47</f>
        <v>#REF!</v>
      </c>
      <c r="AJ90" s="253">
        <f t="shared" si="97"/>
        <v>84</v>
      </c>
      <c r="AL90" s="240"/>
      <c r="CD90" s="167"/>
    </row>
    <row r="91" spans="1:94" ht="15.75" customHeight="1" x14ac:dyDescent="0.25">
      <c r="A91" s="164" t="s">
        <v>398</v>
      </c>
      <c r="B91" s="362"/>
      <c r="D91" s="267" t="e">
        <f>+D47-D90</f>
        <v>#REF!</v>
      </c>
      <c r="F91" s="267" t="e">
        <f>+F47-F90</f>
        <v>#REF!</v>
      </c>
      <c r="J91" s="267" t="e">
        <f>+J47-J90</f>
        <v>#REF!</v>
      </c>
      <c r="L91" s="267" t="e">
        <f>+L47-L90</f>
        <v>#REF!</v>
      </c>
      <c r="AJ91" s="253">
        <f t="shared" si="97"/>
        <v>85</v>
      </c>
      <c r="AL91" s="240"/>
      <c r="CD91" s="167"/>
    </row>
    <row r="92" spans="1:94" ht="15.75" customHeight="1" x14ac:dyDescent="0.25">
      <c r="A92" s="164" t="s">
        <v>400</v>
      </c>
      <c r="B92" s="362"/>
      <c r="D92" s="266" t="e">
        <f>+'[5]SOCF qtr'!D55</f>
        <v>#REF!</v>
      </c>
      <c r="F92" s="266" t="e">
        <f>+'[5]SOCF qtr'!F55</f>
        <v>#REF!</v>
      </c>
      <c r="J92" s="266" t="e">
        <f>+'[6]SOCF ytd'!D55</f>
        <v>#REF!</v>
      </c>
      <c r="L92" s="266" t="e">
        <f>+'[6]SOCF ytd'!F55</f>
        <v>#REF!</v>
      </c>
      <c r="AJ92" s="253">
        <f t="shared" si="97"/>
        <v>86</v>
      </c>
      <c r="AL92" s="240"/>
      <c r="CD92" s="167"/>
    </row>
    <row r="93" spans="1:94" ht="15.75" customHeight="1" x14ac:dyDescent="0.25">
      <c r="A93" s="164" t="s">
        <v>398</v>
      </c>
      <c r="B93" s="362"/>
      <c r="D93" s="267" t="e">
        <f>+D61-D92</f>
        <v>#REF!</v>
      </c>
      <c r="F93" s="267" t="e">
        <f>+F61-F92</f>
        <v>#REF!</v>
      </c>
      <c r="J93" s="267" t="e">
        <f>+J61-J92</f>
        <v>#REF!</v>
      </c>
      <c r="L93" s="267" t="e">
        <f>+L61-L92</f>
        <v>#REF!</v>
      </c>
      <c r="AJ93" s="253">
        <f t="shared" si="97"/>
        <v>87</v>
      </c>
      <c r="AL93" s="240"/>
      <c r="CD93" s="167"/>
    </row>
    <row r="94" spans="1:94" ht="15.75" customHeight="1" x14ac:dyDescent="0.25">
      <c r="A94" s="164" t="s">
        <v>401</v>
      </c>
      <c r="B94" s="362"/>
      <c r="D94" s="266">
        <f>'1.Input BalSht'!C10</f>
        <v>376772000</v>
      </c>
      <c r="J94" s="266">
        <f>+'1.Input BalSht'!C10</f>
        <v>376772000</v>
      </c>
      <c r="AJ94" s="253">
        <f t="shared" si="97"/>
        <v>88</v>
      </c>
      <c r="AL94" s="240"/>
      <c r="CD94" s="167"/>
    </row>
    <row r="95" spans="1:94" ht="15.75" customHeight="1" x14ac:dyDescent="0.25">
      <c r="A95" s="164" t="s">
        <v>402</v>
      </c>
      <c r="B95" s="362"/>
      <c r="D95" s="266">
        <f>'1.Input BalSht'!C11</f>
        <v>593000</v>
      </c>
      <c r="J95" s="266">
        <f>+'1.Input BalSht'!C11</f>
        <v>593000</v>
      </c>
      <c r="AJ95" s="253">
        <f t="shared" si="97"/>
        <v>89</v>
      </c>
      <c r="AL95" s="240"/>
      <c r="CD95" s="167"/>
    </row>
    <row r="96" spans="1:94" ht="15.75" customHeight="1" x14ac:dyDescent="0.25">
      <c r="A96" s="164" t="s">
        <v>398</v>
      </c>
      <c r="D96" s="267">
        <f>+D94+D95-D63</f>
        <v>0</v>
      </c>
      <c r="J96" s="267">
        <f>+J94+J95-J63</f>
        <v>0</v>
      </c>
      <c r="AJ96" s="253">
        <f t="shared" si="97"/>
        <v>90</v>
      </c>
      <c r="AL96" s="240"/>
      <c r="CD96" s="167"/>
    </row>
    <row r="97" spans="1:82" ht="15" customHeight="1" x14ac:dyDescent="0.25">
      <c r="AL97" s="240"/>
      <c r="CD97" s="167"/>
    </row>
    <row r="98" spans="1:82" ht="15" customHeight="1" x14ac:dyDescent="0.25">
      <c r="AL98" s="240"/>
      <c r="CD98" s="167"/>
    </row>
    <row r="99" spans="1:82" ht="15" customHeight="1" x14ac:dyDescent="0.25">
      <c r="AL99" s="240"/>
      <c r="CD99" s="167"/>
    </row>
    <row r="100" spans="1:82" ht="16.649999999999999" customHeight="1" x14ac:dyDescent="0.25">
      <c r="A100" s="268" t="s">
        <v>403</v>
      </c>
      <c r="AL100" s="240"/>
      <c r="CD100" s="167"/>
    </row>
    <row r="101" spans="1:82" ht="16.649999999999999" customHeight="1" x14ac:dyDescent="0.25">
      <c r="A101" s="269" t="s">
        <v>404</v>
      </c>
      <c r="AL101" s="240"/>
      <c r="CD101" s="167"/>
    </row>
    <row r="102" spans="1:82" ht="16.649999999999999" customHeight="1" x14ac:dyDescent="0.25">
      <c r="A102" s="269" t="s">
        <v>405</v>
      </c>
      <c r="AL102" s="240"/>
      <c r="CD102" s="167"/>
    </row>
    <row r="103" spans="1:82" ht="23.25" customHeight="1" x14ac:dyDescent="0.25">
      <c r="A103" s="269" t="s">
        <v>406</v>
      </c>
      <c r="AL103" s="240"/>
      <c r="CD103" s="167"/>
    </row>
    <row r="104" spans="1:82" ht="16.649999999999999" customHeight="1" x14ac:dyDescent="0.25">
      <c r="A104" s="269" t="s">
        <v>407</v>
      </c>
      <c r="AL104" s="240"/>
      <c r="CD104" s="167"/>
    </row>
    <row r="105" spans="1:82" ht="16.649999999999999" customHeight="1" x14ac:dyDescent="0.25">
      <c r="A105" s="269" t="s">
        <v>408</v>
      </c>
      <c r="AL105" s="240"/>
      <c r="CD105" s="167"/>
    </row>
    <row r="106" spans="1:82" ht="16.649999999999999" customHeight="1" x14ac:dyDescent="0.25">
      <c r="A106" s="277"/>
      <c r="AL106" s="240"/>
      <c r="CD106" s="167"/>
    </row>
    <row r="107" spans="1:82" ht="16.649999999999999" customHeight="1" x14ac:dyDescent="0.25">
      <c r="AL107" s="240"/>
      <c r="CD107" s="167"/>
    </row>
    <row r="108" spans="1:82" ht="16.649999999999999" customHeight="1" x14ac:dyDescent="0.25">
      <c r="A108" s="270" t="s">
        <v>409</v>
      </c>
      <c r="AL108" s="240"/>
      <c r="CD108" s="167"/>
    </row>
    <row r="109" spans="1:82" ht="16.649999999999999" customHeight="1" x14ac:dyDescent="0.25">
      <c r="A109" s="22" t="s">
        <v>410</v>
      </c>
      <c r="AL109" s="240"/>
      <c r="CD109" s="167"/>
    </row>
    <row r="110" spans="1:82" ht="15" customHeight="1" x14ac:dyDescent="0.25">
      <c r="AL110" s="240"/>
      <c r="CD110" s="167"/>
    </row>
    <row r="111" spans="1:82" ht="15" customHeight="1" x14ac:dyDescent="0.25">
      <c r="AL111" s="240"/>
      <c r="CD111" s="167"/>
    </row>
    <row r="112" spans="1:82" ht="15" customHeight="1" x14ac:dyDescent="0.25">
      <c r="AL112" s="240"/>
      <c r="CD112" s="167"/>
    </row>
    <row r="113" spans="38:82" ht="15" customHeight="1" x14ac:dyDescent="0.25">
      <c r="AL113" s="240"/>
      <c r="CD113" s="167"/>
    </row>
    <row r="114" spans="38:82" ht="15" customHeight="1" x14ac:dyDescent="0.25">
      <c r="AL114" s="240"/>
      <c r="CD114" s="167"/>
    </row>
    <row r="115" spans="38:82" ht="15" customHeight="1" x14ac:dyDescent="0.25">
      <c r="AL115" s="240"/>
      <c r="CD115" s="167"/>
    </row>
    <row r="116" spans="38:82" ht="15" customHeight="1" x14ac:dyDescent="0.25">
      <c r="AL116" s="240"/>
      <c r="CD116" s="167"/>
    </row>
    <row r="117" spans="38:82" ht="15" customHeight="1" x14ac:dyDescent="0.25">
      <c r="AL117" s="240"/>
      <c r="CD117" s="167"/>
    </row>
    <row r="118" spans="38:82" ht="15" customHeight="1" x14ac:dyDescent="0.25">
      <c r="AL118" s="240"/>
      <c r="CD118" s="167"/>
    </row>
    <row r="119" spans="38:82" ht="15" customHeight="1" x14ac:dyDescent="0.25">
      <c r="AL119" s="240"/>
      <c r="CD119" s="167"/>
    </row>
  </sheetData>
  <mergeCells count="38">
    <mergeCell ref="DP6:DQ6"/>
    <mergeCell ref="DJ6:DK6"/>
    <mergeCell ref="CF6:CG6"/>
    <mergeCell ref="CR6:CS6"/>
    <mergeCell ref="CL6:CM6"/>
    <mergeCell ref="CX6:CY6"/>
    <mergeCell ref="DD6:DE6"/>
    <mergeCell ref="B88:B95"/>
    <mergeCell ref="AN77:AQ77"/>
    <mergeCell ref="BR6:BU6"/>
    <mergeCell ref="BL6:BO6"/>
    <mergeCell ref="BX6:CA6"/>
    <mergeCell ref="T6:X6"/>
    <mergeCell ref="Z3:AH3"/>
    <mergeCell ref="AT6:AW6"/>
    <mergeCell ref="AN6:AQ6"/>
    <mergeCell ref="AZ6:BC6"/>
    <mergeCell ref="BF6:BI6"/>
    <mergeCell ref="Z4:AB4"/>
    <mergeCell ref="Z6:AB6"/>
    <mergeCell ref="Z5:AB5"/>
    <mergeCell ref="AD6:AH6"/>
    <mergeCell ref="AD5:AH5"/>
    <mergeCell ref="AD4:AH4"/>
    <mergeCell ref="T5:X5"/>
    <mergeCell ref="P6:R6"/>
    <mergeCell ref="P5:R5"/>
    <mergeCell ref="P3:X3"/>
    <mergeCell ref="P4:R4"/>
    <mergeCell ref="T4:X4"/>
    <mergeCell ref="D5:H5"/>
    <mergeCell ref="D6:H6"/>
    <mergeCell ref="D4:H4"/>
    <mergeCell ref="D2:H2"/>
    <mergeCell ref="J4:N4"/>
    <mergeCell ref="J2:N2"/>
    <mergeCell ref="J6:N6"/>
    <mergeCell ref="J5:N5"/>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03"/>
  <sheetViews>
    <sheetView workbookViewId="0">
      <pane xSplit="1" ySplit="10" topLeftCell="B11" activePane="bottomRight" state="frozen"/>
      <selection pane="topRight"/>
      <selection pane="bottomLeft"/>
      <selection pane="bottomRight"/>
    </sheetView>
  </sheetViews>
  <sheetFormatPr defaultColWidth="13.08984375" defaultRowHeight="12.5" x14ac:dyDescent="0.25"/>
  <cols>
    <col min="1" max="1" width="52.26953125" customWidth="1"/>
    <col min="2" max="2" width="1.26953125" customWidth="1"/>
    <col min="3" max="3" width="12.453125" customWidth="1"/>
    <col min="4" max="4" width="0.90625" customWidth="1"/>
    <col min="5" max="5" width="12.453125" customWidth="1"/>
    <col min="6" max="6" width="0.90625" customWidth="1"/>
    <col min="7" max="7" width="12.453125" customWidth="1"/>
    <col min="8" max="8" width="1.08984375" customWidth="1"/>
    <col min="9" max="10" width="10.36328125" customWidth="1"/>
    <col min="11" max="11" width="0.90625" customWidth="1"/>
  </cols>
  <sheetData>
    <row r="1" spans="1:10" ht="15" customHeight="1" x14ac:dyDescent="0.25"/>
    <row r="2" spans="1:10" ht="3.25" customHeight="1" x14ac:dyDescent="0.25"/>
    <row r="3" spans="1:10" ht="16.649999999999999" customHeight="1" x14ac:dyDescent="0.25">
      <c r="A3" s="376" t="s">
        <v>72</v>
      </c>
      <c r="B3" s="362"/>
      <c r="C3" s="362"/>
      <c r="D3" s="362"/>
      <c r="E3" s="362"/>
      <c r="F3" s="362"/>
      <c r="G3" s="362"/>
      <c r="H3" s="362"/>
      <c r="I3" s="362"/>
      <c r="J3" s="362"/>
    </row>
    <row r="4" spans="1:10" ht="16.649999999999999" customHeight="1" x14ac:dyDescent="0.25">
      <c r="A4" s="376" t="s">
        <v>411</v>
      </c>
      <c r="B4" s="362"/>
      <c r="C4" s="362"/>
      <c r="D4" s="362"/>
      <c r="E4" s="362"/>
      <c r="F4" s="362"/>
      <c r="G4" s="362"/>
      <c r="H4" s="362"/>
      <c r="I4" s="362"/>
      <c r="J4" s="362"/>
    </row>
    <row r="5" spans="1:10" ht="16.649999999999999" customHeight="1" x14ac:dyDescent="0.25">
      <c r="A5" s="376" t="s">
        <v>145</v>
      </c>
      <c r="B5" s="362"/>
    </row>
    <row r="6" spans="1:10" ht="16.649999999999999" customHeight="1" x14ac:dyDescent="0.25">
      <c r="A6" s="376" t="s">
        <v>147</v>
      </c>
      <c r="B6" s="362"/>
    </row>
    <row r="7" spans="1:10" ht="12.5" customHeight="1" x14ac:dyDescent="0.25"/>
    <row r="8" spans="1:10" ht="16.649999999999999" customHeight="1" x14ac:dyDescent="0.25">
      <c r="C8" s="402" t="str">
        <f>Dates!$E$50</f>
        <v>For the nine months ended December 31,</v>
      </c>
      <c r="D8" s="362"/>
      <c r="E8" s="362"/>
      <c r="F8" s="362"/>
      <c r="G8" s="362"/>
      <c r="H8" s="362"/>
      <c r="I8" s="362"/>
      <c r="J8" s="362"/>
    </row>
    <row r="9" spans="1:10" ht="16.649999999999999" customHeight="1" x14ac:dyDescent="0.25">
      <c r="C9" s="50"/>
      <c r="D9" s="50"/>
      <c r="E9" s="50"/>
      <c r="F9" s="50"/>
      <c r="G9" s="50"/>
      <c r="H9" s="50"/>
      <c r="I9" s="100" t="s">
        <v>79</v>
      </c>
      <c r="J9" s="100" t="s">
        <v>80</v>
      </c>
    </row>
    <row r="10" spans="1:10" ht="16.649999999999999" customHeight="1" x14ac:dyDescent="0.25">
      <c r="C10" s="278" t="str">
        <f>Dates!$B$6</f>
        <v>2024</v>
      </c>
      <c r="E10" s="278">
        <f>Dates!$B$19</f>
        <v>2023</v>
      </c>
      <c r="G10" s="278">
        <f>Dates!$C$19</f>
        <v>2022</v>
      </c>
      <c r="I10" s="60" t="s">
        <v>85</v>
      </c>
      <c r="J10" s="60" t="s">
        <v>85</v>
      </c>
    </row>
    <row r="11" spans="1:10" ht="16.649999999999999" customHeight="1" x14ac:dyDescent="0.25">
      <c r="C11" s="50"/>
      <c r="E11" s="50"/>
      <c r="G11" s="50"/>
      <c r="I11" s="50"/>
      <c r="J11" s="50"/>
    </row>
    <row r="12" spans="1:10" ht="16.649999999999999" customHeight="1" x14ac:dyDescent="0.25">
      <c r="A12" s="66" t="s">
        <v>180</v>
      </c>
      <c r="C12" s="69">
        <f>'1.Input IS Trend &amp; EPS'!K9</f>
        <v>556856000</v>
      </c>
      <c r="E12" s="69">
        <f>'1.Input IS Trend &amp; EPS'!M9</f>
        <v>487809000</v>
      </c>
      <c r="G12" s="69">
        <f>'1.Input IS Trend &amp; EPS'!O9</f>
        <v>447957000</v>
      </c>
      <c r="I12" s="83">
        <f>+C12-E12</f>
        <v>69047000</v>
      </c>
      <c r="J12" s="70">
        <f>+I12/ABS(E12)</f>
        <v>0.14154515394344919</v>
      </c>
    </row>
    <row r="13" spans="1:10" ht="16.649999999999999" customHeight="1" x14ac:dyDescent="0.25">
      <c r="A13" s="66" t="s">
        <v>181</v>
      </c>
      <c r="C13" s="74">
        <f>'1.Input IS Trend &amp; EPS'!K10</f>
        <v>157981000</v>
      </c>
      <c r="E13" s="74">
        <f>'1.Input IS Trend &amp; EPS'!M10</f>
        <v>131767000</v>
      </c>
      <c r="G13" s="74">
        <f>'1.Input IS Trend &amp; EPS'!O10</f>
        <v>126612000</v>
      </c>
      <c r="I13" s="83">
        <f>+C13-E13</f>
        <v>26214000</v>
      </c>
      <c r="J13" s="70">
        <f>+I13/ABS(E13)</f>
        <v>0.19894207199071087</v>
      </c>
    </row>
    <row r="14" spans="1:10" ht="16.649999999999999" customHeight="1" x14ac:dyDescent="0.25">
      <c r="A14" s="81" t="s">
        <v>182</v>
      </c>
      <c r="C14" s="279">
        <f>+C12-C13</f>
        <v>398875000</v>
      </c>
      <c r="E14" s="279">
        <f>+E12-E13</f>
        <v>356042000</v>
      </c>
      <c r="G14" s="279">
        <f>+G12-G13</f>
        <v>321345000</v>
      </c>
      <c r="I14" s="83">
        <f>+C14-E14</f>
        <v>42833000</v>
      </c>
      <c r="J14" s="70">
        <f>+I14/ABS(E14)</f>
        <v>0.12030322265350717</v>
      </c>
    </row>
    <row r="15" spans="1:10" ht="16.649999999999999" customHeight="1" x14ac:dyDescent="0.3">
      <c r="A15" s="280" t="s">
        <v>183</v>
      </c>
      <c r="C15" s="281">
        <f>+C14/C12</f>
        <v>0.71629828896519032</v>
      </c>
      <c r="E15" s="281">
        <f>+E14/E12</f>
        <v>0.72987993251457028</v>
      </c>
      <c r="G15" s="281">
        <f>+G14/G12</f>
        <v>0.71735679987141621</v>
      </c>
    </row>
    <row r="16" spans="1:10" ht="10.75" customHeight="1" x14ac:dyDescent="0.25"/>
    <row r="17" spans="1:10" ht="16.649999999999999" customHeight="1" x14ac:dyDescent="0.25">
      <c r="A17" s="66" t="s">
        <v>412</v>
      </c>
    </row>
    <row r="18" spans="1:10" ht="16.649999999999999" customHeight="1" x14ac:dyDescent="0.25">
      <c r="A18" s="67" t="s">
        <v>185</v>
      </c>
      <c r="C18" s="69">
        <f>'1.Input IS Trend &amp; EPS'!K16</f>
        <v>130742000</v>
      </c>
      <c r="E18" s="69">
        <f>'1.Input IS Trend &amp; EPS'!M16</f>
        <v>106040000</v>
      </c>
      <c r="G18" s="69">
        <f>'1.Input IS Trend &amp; EPS'!O16</f>
        <v>136975000</v>
      </c>
      <c r="I18" s="83">
        <f>+C18-E18</f>
        <v>24702000</v>
      </c>
      <c r="J18" s="70">
        <f>+I18/ABS(E18)</f>
        <v>0.23294983025273483</v>
      </c>
    </row>
    <row r="19" spans="1:10" ht="16.649999999999999" customHeight="1" x14ac:dyDescent="0.25">
      <c r="A19" s="67" t="s">
        <v>186</v>
      </c>
      <c r="C19" s="69">
        <f>'1.Input IS Trend &amp; EPS'!K17</f>
        <v>156145000</v>
      </c>
      <c r="E19" s="69">
        <f>'1.Input IS Trend &amp; EPS'!M17</f>
        <v>135217000</v>
      </c>
      <c r="G19" s="69">
        <f>'1.Input IS Trend &amp; EPS'!O17</f>
        <v>144931000</v>
      </c>
      <c r="I19" s="83">
        <f>+C19-E19</f>
        <v>20928000</v>
      </c>
      <c r="J19" s="70">
        <f>+I19/ABS(E19)</f>
        <v>0.15477343825110748</v>
      </c>
    </row>
    <row r="20" spans="1:10" ht="16.649999999999999" customHeight="1" x14ac:dyDescent="0.25">
      <c r="A20" s="67" t="s">
        <v>187</v>
      </c>
      <c r="C20" s="69">
        <f>'1.Input IS Trend &amp; EPS'!K18</f>
        <v>94324000</v>
      </c>
      <c r="E20" s="69">
        <f>'1.Input IS Trend &amp; EPS'!M18</f>
        <v>79914000</v>
      </c>
      <c r="G20" s="69">
        <f>'1.Input IS Trend &amp; EPS'!O18</f>
        <v>92519000</v>
      </c>
      <c r="I20" s="83">
        <f>+C20-E20</f>
        <v>14410000</v>
      </c>
      <c r="J20" s="70">
        <f>+I20/ABS(E20)</f>
        <v>0.18031884275596266</v>
      </c>
    </row>
    <row r="21" spans="1:10" ht="16.649999999999999" customHeight="1" x14ac:dyDescent="0.25">
      <c r="A21" s="67" t="s">
        <v>188</v>
      </c>
      <c r="C21" s="74">
        <f>'1.Input IS Trend &amp; EPS'!K19</f>
        <v>752000</v>
      </c>
      <c r="E21" s="74">
        <f>'1.Input IS Trend &amp; EPS'!M19</f>
        <v>9192000</v>
      </c>
      <c r="G21" s="74">
        <f>'1.Input IS Trend &amp; EPS'!O19</f>
        <v>25593000</v>
      </c>
      <c r="I21" s="83">
        <f>+C21-E21</f>
        <v>-8440000</v>
      </c>
      <c r="J21" s="70">
        <f>+I21/ABS(E21)</f>
        <v>-0.91818973020017403</v>
      </c>
    </row>
    <row r="22" spans="1:10" ht="16.649999999999999" customHeight="1" x14ac:dyDescent="0.25">
      <c r="A22" s="66" t="s">
        <v>189</v>
      </c>
      <c r="C22" s="77">
        <f>SUM(C18:C21)</f>
        <v>381963000</v>
      </c>
      <c r="E22" s="77">
        <f>SUM(E18:E21)</f>
        <v>330363000</v>
      </c>
      <c r="G22" s="77">
        <f>SUM(G18:G21)</f>
        <v>400018000</v>
      </c>
      <c r="I22" s="83">
        <f>+C22-E22</f>
        <v>51600000</v>
      </c>
      <c r="J22" s="70">
        <f>+I22/ABS(E22)</f>
        <v>0.15619182535574505</v>
      </c>
    </row>
    <row r="23" spans="1:10" ht="12.5" customHeight="1" x14ac:dyDescent="0.25">
      <c r="C23" s="50"/>
      <c r="E23" s="50"/>
      <c r="G23" s="50"/>
    </row>
    <row r="24" spans="1:10" ht="16.649999999999999" customHeight="1" x14ac:dyDescent="0.25">
      <c r="A24" s="282" t="s">
        <v>413</v>
      </c>
      <c r="C24" s="69">
        <f>C14-C22</f>
        <v>16912000</v>
      </c>
      <c r="E24" s="69">
        <f>E14-E22</f>
        <v>25679000</v>
      </c>
      <c r="G24" s="69">
        <f>G14-G22</f>
        <v>-78673000</v>
      </c>
      <c r="I24" s="83">
        <f>+C24-E24</f>
        <v>-8767000</v>
      </c>
      <c r="J24" s="70">
        <f>+I24/ABS(E24)</f>
        <v>-0.34140737567662294</v>
      </c>
    </row>
    <row r="25" spans="1:10" ht="16.649999999999999" customHeight="1" x14ac:dyDescent="0.3">
      <c r="A25" s="280" t="s">
        <v>190</v>
      </c>
      <c r="C25" s="281">
        <f>+C24/C12</f>
        <v>3.0370508713204132E-2</v>
      </c>
      <c r="E25" s="281">
        <f>+E24/E12</f>
        <v>5.2641505179281234E-2</v>
      </c>
      <c r="G25" s="281">
        <f>+G24/G12</f>
        <v>-0.17562623198208757</v>
      </c>
    </row>
    <row r="26" spans="1:10" ht="12.5" customHeight="1" x14ac:dyDescent="0.25"/>
    <row r="27" spans="1:10" ht="16.649999999999999" customHeight="1" x14ac:dyDescent="0.25">
      <c r="A27" s="66" t="s">
        <v>191</v>
      </c>
      <c r="C27" s="74">
        <f>'1.Input IS Trend &amp; EPS'!K26</f>
        <v>12674000</v>
      </c>
      <c r="E27" s="74">
        <f>'1.Input IS Trend &amp; EPS'!M26</f>
        <v>17887000</v>
      </c>
      <c r="G27" s="74">
        <f>'1.Input IS Trend &amp; EPS'!O26</f>
        <v>2211000</v>
      </c>
      <c r="I27" s="83">
        <f>+C27-E27</f>
        <v>-5213000</v>
      </c>
      <c r="J27" s="70">
        <f>+I27/ABS(E27)</f>
        <v>-0.29144071113098896</v>
      </c>
    </row>
    <row r="28" spans="1:10" ht="16.649999999999999" customHeight="1" x14ac:dyDescent="0.25">
      <c r="C28" s="50"/>
      <c r="E28" s="50"/>
      <c r="G28" s="50"/>
    </row>
    <row r="29" spans="1:10" ht="33.25" customHeight="1" x14ac:dyDescent="0.25">
      <c r="A29" s="282" t="s">
        <v>303</v>
      </c>
      <c r="C29" s="69">
        <f>+C24+C27</f>
        <v>29586000</v>
      </c>
      <c r="E29" s="69">
        <f>+E24+E27</f>
        <v>43566000</v>
      </c>
      <c r="G29" s="69">
        <f>+G24+G27</f>
        <v>-76462000</v>
      </c>
      <c r="I29" s="83">
        <f>+C29-E29</f>
        <v>-13980000</v>
      </c>
      <c r="J29" s="70">
        <f>+I29/ABS(E29)</f>
        <v>-0.32089243905798098</v>
      </c>
    </row>
    <row r="30" spans="1:10" ht="16.649999999999999" customHeight="1" x14ac:dyDescent="0.25">
      <c r="A30" s="282" t="s">
        <v>414</v>
      </c>
      <c r="C30" s="74">
        <f>'1.Input IS Trend &amp; EPS'!K29</f>
        <v>25821000</v>
      </c>
      <c r="E30" s="74">
        <f>'1.Input IS Trend &amp; EPS'!M29</f>
        <v>27297000</v>
      </c>
      <c r="G30" s="74">
        <f>'1.Input IS Trend &amp; EPS'!O29</f>
        <v>11712000</v>
      </c>
      <c r="I30" s="83">
        <f>+C30-E30</f>
        <v>-1476000</v>
      </c>
      <c r="J30" s="70">
        <f>+I30/ABS(E30)</f>
        <v>-5.4071876030333005E-2</v>
      </c>
    </row>
    <row r="31" spans="1:10" ht="16.649999999999999" customHeight="1" x14ac:dyDescent="0.25">
      <c r="A31" s="283" t="s">
        <v>415</v>
      </c>
      <c r="C31" s="279">
        <f>+C29-C30</f>
        <v>3765000</v>
      </c>
      <c r="E31" s="279">
        <f>+E29-E30</f>
        <v>16269000</v>
      </c>
      <c r="G31" s="279">
        <f>+G29-G30</f>
        <v>-88174000</v>
      </c>
      <c r="I31" s="83">
        <f>+C31-E31</f>
        <v>-12504000</v>
      </c>
      <c r="J31" s="70">
        <f>+I31/ABS(E31)</f>
        <v>-0.76857827770606679</v>
      </c>
    </row>
    <row r="32" spans="1:10" ht="15" customHeight="1" x14ac:dyDescent="0.25">
      <c r="A32" s="1" t="s">
        <v>193</v>
      </c>
      <c r="C32" s="74">
        <f>'1.Input IS Trend &amp; EPS'!K32</f>
        <v>1688000</v>
      </c>
      <c r="E32" s="74">
        <f>'1.Input IS Trend &amp; EPS'!M32</f>
        <v>985000</v>
      </c>
      <c r="G32" s="74">
        <f>'1.Input IS Trend &amp; EPS'!O32</f>
        <v>836000</v>
      </c>
      <c r="I32" s="83">
        <f>+C32-E32</f>
        <v>703000</v>
      </c>
      <c r="J32" s="70">
        <f>+I32/ABS(E32)</f>
        <v>0.71370558375634519</v>
      </c>
    </row>
    <row r="33" spans="1:10" ht="16.649999999999999" customHeight="1" x14ac:dyDescent="0.25">
      <c r="C33" s="290"/>
      <c r="E33" s="290"/>
      <c r="G33" s="290"/>
    </row>
    <row r="34" spans="1:10" ht="16.649999999999999" customHeight="1" x14ac:dyDescent="0.25">
      <c r="A34" s="282" t="s">
        <v>217</v>
      </c>
      <c r="C34" s="79">
        <f>+C31+C32</f>
        <v>5453000</v>
      </c>
      <c r="E34" s="79">
        <f>+E31+E32</f>
        <v>17254000</v>
      </c>
      <c r="G34" s="79">
        <f>+G31+G32</f>
        <v>-87338000</v>
      </c>
      <c r="I34" s="83">
        <f>+C34-E34</f>
        <v>-11801000</v>
      </c>
      <c r="J34" s="70">
        <f>+I34/ABS(E34)</f>
        <v>-0.68395734322475943</v>
      </c>
    </row>
    <row r="35" spans="1:10" ht="16.649999999999999" customHeight="1" x14ac:dyDescent="0.25">
      <c r="C35" s="103"/>
      <c r="E35" s="103"/>
      <c r="G35" s="103"/>
    </row>
    <row r="36" spans="1:10" ht="16.649999999999999" customHeight="1" x14ac:dyDescent="0.25">
      <c r="A36" s="284" t="s">
        <v>416</v>
      </c>
    </row>
    <row r="37" spans="1:10" ht="16.649999999999999" customHeight="1" x14ac:dyDescent="0.25">
      <c r="A37" s="67" t="s">
        <v>195</v>
      </c>
      <c r="C37" s="82" t="e">
        <f>+#REF!</f>
        <v>#REF!</v>
      </c>
      <c r="E37" s="82" t="e">
        <f>+#REF!</f>
        <v>#REF!</v>
      </c>
      <c r="G37" s="82" t="e">
        <f>+#REF!</f>
        <v>#REF!</v>
      </c>
      <c r="I37" s="82" t="e">
        <f>+C37-E37</f>
        <v>#REF!</v>
      </c>
      <c r="J37" s="82" t="e">
        <f>+I37/ABS(E37)</f>
        <v>#REF!</v>
      </c>
    </row>
    <row r="38" spans="1:10" ht="16.649999999999999" customHeight="1" x14ac:dyDescent="0.25">
      <c r="A38" s="67" t="s">
        <v>196</v>
      </c>
      <c r="C38" s="285">
        <f>ROUND(+C32/C46,4)</f>
        <v>2.5499999999999998E-2</v>
      </c>
      <c r="E38" s="286" t="e">
        <f>+#REF!</f>
        <v>#REF!</v>
      </c>
      <c r="G38" s="286" t="e">
        <f>+#REF!</f>
        <v>#REF!</v>
      </c>
      <c r="I38" s="82" t="e">
        <f>+C38-E38</f>
        <v>#REF!</v>
      </c>
      <c r="J38" s="82" t="e">
        <f>+I38/ABS(E38)</f>
        <v>#REF!</v>
      </c>
    </row>
    <row r="39" spans="1:10" ht="16.649999999999999" customHeight="1" x14ac:dyDescent="0.25">
      <c r="A39" s="284" t="s">
        <v>416</v>
      </c>
      <c r="C39" s="287" t="e">
        <f>+#REF!</f>
        <v>#REF!</v>
      </c>
      <c r="E39" s="287" t="e">
        <f>+#REF!</f>
        <v>#REF!</v>
      </c>
      <c r="G39" s="287" t="e">
        <f>+#REF!</f>
        <v>#REF!</v>
      </c>
      <c r="I39" s="82" t="e">
        <f>+C39-E39</f>
        <v>#REF!</v>
      </c>
      <c r="J39" s="82" t="e">
        <f>+I39/ABS(E39)</f>
        <v>#REF!</v>
      </c>
    </row>
    <row r="40" spans="1:10" ht="15" customHeight="1" x14ac:dyDescent="0.25">
      <c r="C40" s="103"/>
      <c r="E40" s="103"/>
      <c r="G40" s="103"/>
    </row>
    <row r="41" spans="1:10" ht="16.649999999999999" customHeight="1" x14ac:dyDescent="0.25">
      <c r="A41" s="284" t="s">
        <v>417</v>
      </c>
    </row>
    <row r="42" spans="1:10" ht="16.649999999999999" customHeight="1" x14ac:dyDescent="0.25">
      <c r="A42" s="67" t="s">
        <v>195</v>
      </c>
      <c r="C42" s="82" t="e">
        <f>+#REF!</f>
        <v>#REF!</v>
      </c>
      <c r="E42" s="82" t="e">
        <f>+#REF!</f>
        <v>#REF!</v>
      </c>
      <c r="G42" s="82" t="e">
        <f>+#REF!</f>
        <v>#REF!</v>
      </c>
      <c r="I42" s="82" t="e">
        <f>+C42-E42</f>
        <v>#REF!</v>
      </c>
      <c r="J42" s="82" t="e">
        <f>+I42/ABS(E42)</f>
        <v>#REF!</v>
      </c>
    </row>
    <row r="43" spans="1:10" ht="16.649999999999999" customHeight="1" x14ac:dyDescent="0.25">
      <c r="A43" s="67" t="s">
        <v>196</v>
      </c>
      <c r="C43" s="286" t="e">
        <f>+#REF!</f>
        <v>#REF!</v>
      </c>
      <c r="E43" s="286" t="e">
        <f>+#REF!</f>
        <v>#REF!</v>
      </c>
      <c r="G43" s="286" t="e">
        <f>+#REF!</f>
        <v>#REF!</v>
      </c>
      <c r="I43" s="82" t="e">
        <f>+C43-E43</f>
        <v>#REF!</v>
      </c>
      <c r="J43" s="82" t="e">
        <f>+I43/ABS(E43)</f>
        <v>#REF!</v>
      </c>
    </row>
    <row r="44" spans="1:10" ht="16.649999999999999" customHeight="1" x14ac:dyDescent="0.25">
      <c r="A44" s="284" t="s">
        <v>417</v>
      </c>
      <c r="C44" s="288">
        <f>+'1.Input IS Trend &amp; EPS'!K41</f>
        <v>0</v>
      </c>
      <c r="D44" s="50"/>
      <c r="E44" s="288">
        <f>+'1.Input IS Trend &amp; EPS'!M41</f>
        <v>0</v>
      </c>
      <c r="G44" s="288">
        <f>+'1.Input IS Trend &amp; EPS'!O41</f>
        <v>0</v>
      </c>
      <c r="I44" s="289">
        <f>+C44-E44</f>
        <v>0</v>
      </c>
      <c r="J44" s="82" t="e">
        <f>+I44/ABS(E44)</f>
        <v>#DIV/0!</v>
      </c>
    </row>
    <row r="45" spans="1:10" ht="16.649999999999999" customHeight="1" x14ac:dyDescent="0.25">
      <c r="C45" s="103"/>
      <c r="E45" s="103"/>
      <c r="G45" s="103"/>
    </row>
    <row r="46" spans="1:10" ht="16.649999999999999" customHeight="1" x14ac:dyDescent="0.25">
      <c r="A46" s="66" t="s">
        <v>198</v>
      </c>
      <c r="C46" s="69">
        <f>'1.Input IS Trend &amp; EPS'!K47</f>
        <v>66182000</v>
      </c>
      <c r="E46" s="69">
        <f>'1.Input IS Trend &amp; EPS'!M47</f>
        <v>66247333</v>
      </c>
      <c r="G46" s="69">
        <f>'1.Input IS Trend &amp; EPS'!O47</f>
        <v>66761000</v>
      </c>
    </row>
    <row r="47" spans="1:10" ht="16.649999999999999" customHeight="1" x14ac:dyDescent="0.25">
      <c r="A47" s="66" t="s">
        <v>418</v>
      </c>
      <c r="C47" s="69">
        <f>'1.Input IS Trend &amp; EPS'!K48</f>
        <v>67505000</v>
      </c>
      <c r="E47" s="69">
        <f>'1.Input IS Trend &amp; EPS'!M48</f>
        <v>67733000</v>
      </c>
      <c r="G47" s="69">
        <f>'1.Input IS Trend &amp; EPS'!O48</f>
        <v>66761000</v>
      </c>
    </row>
    <row r="48" spans="1:10" ht="16.649999999999999" customHeight="1" x14ac:dyDescent="0.25"/>
    <row r="49" spans="1:5" ht="16.649999999999999" customHeight="1" x14ac:dyDescent="0.25"/>
    <row r="50" spans="1:5" ht="16.649999999999999" customHeight="1" x14ac:dyDescent="0.25"/>
    <row r="51" spans="1:5" ht="13.25" customHeight="1" x14ac:dyDescent="0.25">
      <c r="A51" s="84" t="s">
        <v>324</v>
      </c>
      <c r="C51" s="162" t="s">
        <v>419</v>
      </c>
      <c r="E51" s="162" t="s">
        <v>419</v>
      </c>
    </row>
    <row r="52" spans="1:5" ht="13.25" customHeight="1" x14ac:dyDescent="0.25">
      <c r="A52" s="86" t="s">
        <v>217</v>
      </c>
      <c r="C52" s="87">
        <f>+'1.Input IS Trend &amp; EPS'!K34</f>
        <v>5453000</v>
      </c>
      <c r="D52" s="105"/>
      <c r="E52" s="87">
        <f>+'1.Input IS Trend &amp; EPS'!M34</f>
        <v>17254000</v>
      </c>
    </row>
    <row r="53" spans="1:5" ht="13.25" customHeight="1" x14ac:dyDescent="0.25">
      <c r="A53" s="89" t="s">
        <v>130</v>
      </c>
      <c r="C53" s="90">
        <f>+C52-C34</f>
        <v>0</v>
      </c>
      <c r="D53" s="106"/>
      <c r="E53" s="90">
        <f>+E52-E34</f>
        <v>0</v>
      </c>
    </row>
    <row r="54" spans="1:5" ht="13.25" customHeight="1" x14ac:dyDescent="0.25">
      <c r="A54" s="92" t="s">
        <v>218</v>
      </c>
      <c r="C54" s="93">
        <f>+'1.Input IS Trend &amp; EPS'!K11</f>
        <v>398875000</v>
      </c>
      <c r="E54" s="93">
        <f>+'1.Input IS Trend &amp; EPS'!M11</f>
        <v>356042000</v>
      </c>
    </row>
    <row r="55" spans="1:5" ht="13.25" customHeight="1" x14ac:dyDescent="0.25">
      <c r="A55" s="89" t="s">
        <v>130</v>
      </c>
      <c r="C55" s="90">
        <f>+C54-C14</f>
        <v>0</v>
      </c>
      <c r="D55" s="106"/>
      <c r="E55" s="90">
        <f>+E54-E14</f>
        <v>0</v>
      </c>
    </row>
    <row r="56" spans="1:5" ht="16.649999999999999" customHeight="1" x14ac:dyDescent="0.25">
      <c r="A56" s="92" t="s">
        <v>219</v>
      </c>
      <c r="C56" s="93">
        <f>+'1.Input IS Trend &amp; EPS'!K20</f>
        <v>381963000</v>
      </c>
      <c r="E56" s="93">
        <f>+'1.Input IS Trend &amp; EPS'!M20</f>
        <v>330363000</v>
      </c>
    </row>
    <row r="57" spans="1:5" ht="13.25" customHeight="1" x14ac:dyDescent="0.25">
      <c r="A57" s="89" t="s">
        <v>130</v>
      </c>
      <c r="C57" s="90">
        <f>+C56-C22</f>
        <v>0</v>
      </c>
      <c r="D57" s="106"/>
      <c r="E57" s="90">
        <f>+E56-E22</f>
        <v>0</v>
      </c>
    </row>
    <row r="58" spans="1:5" ht="15.75" customHeight="1" x14ac:dyDescent="0.25">
      <c r="A58" s="92" t="s">
        <v>220</v>
      </c>
      <c r="C58" s="93">
        <f>+'1.Input IS Trend &amp; EPS'!K47</f>
        <v>66182000</v>
      </c>
      <c r="E58" s="93">
        <f>+'1.Input IS Trend &amp; EPS'!M47</f>
        <v>66247333</v>
      </c>
    </row>
    <row r="59" spans="1:5" ht="13.25" customHeight="1" x14ac:dyDescent="0.25">
      <c r="A59" s="89" t="s">
        <v>130</v>
      </c>
      <c r="C59" s="90">
        <f>+C58-C46</f>
        <v>0</v>
      </c>
      <c r="D59" s="106"/>
      <c r="E59" s="90">
        <f>+E58-E46</f>
        <v>0</v>
      </c>
    </row>
    <row r="60" spans="1:5" ht="16.649999999999999" customHeight="1" x14ac:dyDescent="0.25"/>
    <row r="61" spans="1:5" ht="16.649999999999999" customHeight="1" x14ac:dyDescent="0.25"/>
    <row r="62" spans="1:5" ht="16.649999999999999" customHeight="1" x14ac:dyDescent="0.25"/>
    <row r="63" spans="1:5" ht="16.649999999999999" customHeight="1" x14ac:dyDescent="0.25"/>
    <row r="64" spans="1:5"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row r="98" ht="16.649999999999999" customHeight="1" x14ac:dyDescent="0.25"/>
    <row r="99" ht="16.649999999999999" customHeight="1" x14ac:dyDescent="0.25"/>
    <row r="100" ht="16.649999999999999" customHeight="1" x14ac:dyDescent="0.25"/>
    <row r="101" ht="16.649999999999999" customHeight="1" x14ac:dyDescent="0.25"/>
    <row r="102" ht="16.649999999999999" customHeight="1" x14ac:dyDescent="0.25"/>
    <row r="103" ht="16.649999999999999" customHeight="1" x14ac:dyDescent="0.25"/>
  </sheetData>
  <mergeCells count="5">
    <mergeCell ref="A5:B5"/>
    <mergeCell ref="A6:B6"/>
    <mergeCell ref="C8:J8"/>
    <mergeCell ref="A4:J4"/>
    <mergeCell ref="A3:J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Dates</vt:lpstr>
      <vt:lpstr>Source Financial DATA</vt:lpstr>
      <vt:lpstr>1.Input BalSht</vt:lpstr>
      <vt:lpstr>1.Input IS Trend &amp; EPS</vt:lpstr>
      <vt:lpstr>1.Input Other Customer details</vt:lpstr>
      <vt:lpstr>1.Input NG Expense</vt:lpstr>
      <vt:lpstr>1.Input NG EPS trend</vt:lpstr>
      <vt:lpstr>1.Input Cash Flow (wTrend)</vt:lpstr>
      <vt:lpstr>IS ytd XXX for Face Fins</vt:lpstr>
      <vt:lpstr>ANALYSTS GAAP to Non-GAAP Recon</vt:lpstr>
      <vt:lpstr>Inc Stmt GAAP &amp; NG</vt:lpstr>
      <vt:lpstr>GAAP to Non-GAAP Inc Stmt Trend</vt:lpstr>
      <vt:lpstr>EBITDA Trended</vt:lpstr>
      <vt:lpstr>Revenue &amp; Customer Detail</vt:lpstr>
      <vt:lpstr>EPS  Trended</vt:lpstr>
      <vt:lpstr>Cash Flow Trended</vt:lpstr>
      <vt:lpstr>Balance Sheet Trended</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Theresa Riggs</cp:lastModifiedBy>
  <cp:revision>2</cp:revision>
  <cp:lastPrinted>2025-02-05T16:06:03Z</cp:lastPrinted>
  <dcterms:created xsi:type="dcterms:W3CDTF">2025-02-04T21:29:47Z</dcterms:created>
  <dcterms:modified xsi:type="dcterms:W3CDTF">2025-02-05T16:06:13Z</dcterms:modified>
</cp:coreProperties>
</file>